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855" yWindow="-165" windowWidth="10995" windowHeight="8220"/>
  </bookViews>
  <sheets>
    <sheet name="O&amp;M-Final" sheetId="4" r:id="rId1"/>
    <sheet name="R&amp;M" sheetId="2" r:id="rId2"/>
    <sheet name="Security" sheetId="3" r:id="rId3"/>
    <sheet name="A&amp;G- Audited Accounts" sheetId="1" r:id="rId4"/>
    <sheet name="Reconcilation for Misc Exp" sheetId="5" r:id="rId5"/>
  </sheets>
  <externalReferences>
    <externalReference r:id="rId6"/>
    <externalReference r:id="rId7"/>
    <externalReference r:id="rId8"/>
  </externalReferences>
  <calcPr calcId="125725" iterate="1"/>
</workbook>
</file>

<file path=xl/calcChain.xml><?xml version="1.0" encoding="utf-8"?>
<calcChain xmlns="http://schemas.openxmlformats.org/spreadsheetml/2006/main">
  <c r="D27" i="5"/>
  <c r="E27"/>
  <c r="C27"/>
  <c r="D26"/>
  <c r="E26"/>
  <c r="C26"/>
  <c r="E24"/>
  <c r="D24"/>
  <c r="C24"/>
  <c r="H26" i="2" l="1"/>
  <c r="F25"/>
  <c r="F24"/>
  <c r="H22"/>
  <c r="H21"/>
  <c r="G22"/>
  <c r="G21"/>
  <c r="F22"/>
  <c r="F21"/>
  <c r="E22"/>
  <c r="E21"/>
  <c r="D22"/>
  <c r="C44" l="1"/>
  <c r="E43"/>
  <c r="D43"/>
  <c r="E42"/>
  <c r="E44" s="1"/>
  <c r="D11" i="4" s="1"/>
  <c r="D42" i="2"/>
  <c r="E41"/>
  <c r="D41"/>
  <c r="E73"/>
  <c r="D74"/>
  <c r="E74" s="1"/>
  <c r="D75"/>
  <c r="E75" s="1"/>
  <c r="D73"/>
  <c r="E58"/>
  <c r="D58"/>
  <c r="D59"/>
  <c r="E59" s="1"/>
  <c r="D57"/>
  <c r="E57" s="1"/>
  <c r="C76"/>
  <c r="C60"/>
  <c r="E60" l="1"/>
  <c r="E12" i="4" s="1"/>
  <c r="E76" i="2"/>
  <c r="F76" s="1"/>
  <c r="K15" i="4" l="1"/>
  <c r="L15"/>
  <c r="J15"/>
  <c r="K4"/>
  <c r="L4" s="1"/>
  <c r="J5"/>
  <c r="C16"/>
  <c r="E7"/>
  <c r="D7"/>
  <c r="C7"/>
  <c r="E5" i="3"/>
  <c r="E4"/>
  <c r="E6" s="1"/>
  <c r="E26" i="4" s="1"/>
  <c r="D5" i="3"/>
  <c r="D4"/>
  <c r="D6" s="1"/>
  <c r="D26" i="4" s="1"/>
  <c r="C5" i="3"/>
  <c r="C4"/>
  <c r="B6"/>
  <c r="J27"/>
  <c r="J26"/>
  <c r="J25"/>
  <c r="J28" s="1"/>
  <c r="F28"/>
  <c r="B15"/>
  <c r="B14"/>
  <c r="B16"/>
  <c r="B39"/>
  <c r="B28"/>
  <c r="E13" i="4" l="1"/>
  <c r="D13"/>
  <c r="K5"/>
  <c r="K7" s="1"/>
  <c r="J8"/>
  <c r="J7"/>
  <c r="L5"/>
  <c r="L7" s="1"/>
  <c r="C6" i="3"/>
  <c r="C26" i="4" s="1"/>
  <c r="B17" i="3"/>
  <c r="K8" i="4" l="1"/>
  <c r="L8"/>
  <c r="E25" l="1"/>
  <c r="E27"/>
  <c r="E24"/>
  <c r="E30"/>
  <c r="E29"/>
  <c r="E22"/>
  <c r="E21"/>
  <c r="D29"/>
  <c r="D22"/>
  <c r="D25"/>
  <c r="D27"/>
  <c r="D24"/>
  <c r="D30"/>
  <c r="E24" i="2" l="1"/>
  <c r="D14"/>
  <c r="E14" s="1"/>
  <c r="F14" s="1"/>
  <c r="E13"/>
  <c r="F13" s="1"/>
  <c r="E7"/>
  <c r="F7" s="1"/>
  <c r="D8"/>
  <c r="E8" s="1"/>
  <c r="F8" s="1"/>
  <c r="D25" l="1"/>
  <c r="E25" s="1"/>
  <c r="G25" s="1"/>
  <c r="G24"/>
  <c r="H24" s="1"/>
  <c r="G14"/>
  <c r="H14" s="1"/>
  <c r="G13"/>
  <c r="H13" s="1"/>
  <c r="G7"/>
  <c r="H7" s="1"/>
  <c r="G8"/>
  <c r="H8" s="1"/>
  <c r="E18" i="1"/>
  <c r="E28" i="4" s="1"/>
  <c r="E16" i="1"/>
  <c r="E13"/>
  <c r="E23" i="4" s="1"/>
  <c r="E9" i="1"/>
  <c r="E19" i="4" s="1"/>
  <c r="E8" i="1"/>
  <c r="E18" i="4" s="1"/>
  <c r="E7" i="1"/>
  <c r="H16" i="2" l="1"/>
  <c r="H9"/>
  <c r="E17" i="4"/>
  <c r="E21" i="1"/>
  <c r="H25" i="2"/>
  <c r="C10" i="4" l="1"/>
  <c r="C13" s="1"/>
  <c r="E31"/>
  <c r="E33" s="1"/>
  <c r="D18" i="1"/>
  <c r="D28" i="4" s="1"/>
  <c r="D16" i="1"/>
  <c r="D13"/>
  <c r="D23" i="4" s="1"/>
  <c r="D11" i="1"/>
  <c r="D21" i="4" s="1"/>
  <c r="D19"/>
  <c r="D8" i="1"/>
  <c r="D18" i="4" s="1"/>
  <c r="D7" i="1"/>
  <c r="D17" i="4" l="1"/>
  <c r="D21" i="1"/>
  <c r="D31" i="4" l="1"/>
  <c r="D33" s="1"/>
  <c r="C9" i="1"/>
  <c r="C19" i="4" s="1"/>
  <c r="C18" i="1" l="1"/>
  <c r="C28" i="4" s="1"/>
  <c r="C11" i="1"/>
  <c r="C21" i="4" s="1"/>
  <c r="C13" i="1"/>
  <c r="C23" i="4" s="1"/>
  <c r="C20" i="1"/>
  <c r="C30" i="4" s="1"/>
  <c r="C19" i="1"/>
  <c r="C29" i="4" s="1"/>
  <c r="C14" i="1"/>
  <c r="C24" i="4" s="1"/>
  <c r="C15" i="1"/>
  <c r="C25" i="4" s="1"/>
  <c r="C17" i="1" l="1"/>
  <c r="C27" i="4" s="1"/>
  <c r="C16" i="1"/>
  <c r="C12"/>
  <c r="C22" i="4" s="1"/>
  <c r="C8" i="1" l="1"/>
  <c r="C18" i="4" l="1"/>
  <c r="C7" i="1"/>
  <c r="C17" i="4" l="1"/>
  <c r="C21" i="1"/>
  <c r="C31" i="4" l="1"/>
  <c r="C33" s="1"/>
</calcChain>
</file>

<file path=xl/comments1.xml><?xml version="1.0" encoding="utf-8"?>
<comments xmlns="http://schemas.openxmlformats.org/spreadsheetml/2006/main">
  <authors>
    <author>95002070</author>
  </authors>
  <commentList>
    <comment ref="D24" authorId="0">
      <text>
        <r>
          <rPr>
            <b/>
            <sz val="9"/>
            <color indexed="81"/>
            <rFont val="Tahoma"/>
            <family val="2"/>
          </rPr>
          <t>95002070:</t>
        </r>
        <r>
          <rPr>
            <sz val="9"/>
            <color indexed="81"/>
            <rFont val="Tahoma"/>
            <family val="2"/>
          </rPr>
          <t xml:space="preserve">
Refer page 10 of WO for Encotech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95002070:</t>
        </r>
        <r>
          <rPr>
            <sz val="9"/>
            <color indexed="81"/>
            <rFont val="Tahoma"/>
            <family val="2"/>
          </rPr>
          <t xml:space="preserve">
Refer page 1 of WO for JB Enterprises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95002070:</t>
        </r>
        <r>
          <rPr>
            <sz val="9"/>
            <color indexed="81"/>
            <rFont val="Tahoma"/>
            <family val="2"/>
          </rPr>
          <t xml:space="preserve">
Refer page 1 of WO for New JB Enterprises</t>
        </r>
      </text>
    </comment>
  </commentList>
</comments>
</file>

<file path=xl/comments2.xml><?xml version="1.0" encoding="utf-8"?>
<comments xmlns="http://schemas.openxmlformats.org/spreadsheetml/2006/main">
  <authors>
    <author>95002070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95002070:</t>
        </r>
        <r>
          <rPr>
            <sz val="9"/>
            <color indexed="81"/>
            <rFont val="Tahoma"/>
            <family val="2"/>
          </rPr>
          <t xml:space="preserve">
Refer page 1 of WO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95002070:</t>
        </r>
        <r>
          <rPr>
            <sz val="9"/>
            <color indexed="81"/>
            <rFont val="Tahoma"/>
            <family val="2"/>
          </rPr>
          <t xml:space="preserve">
Refer page 1 of WO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95002070:</t>
        </r>
        <r>
          <rPr>
            <sz val="9"/>
            <color indexed="81"/>
            <rFont val="Tahoma"/>
            <family val="2"/>
          </rPr>
          <t xml:space="preserve">
Refer page 1 of WO</t>
        </r>
      </text>
    </comment>
  </commentList>
</comments>
</file>

<file path=xl/sharedStrings.xml><?xml version="1.0" encoding="utf-8"?>
<sst xmlns="http://schemas.openxmlformats.org/spreadsheetml/2006/main" count="329" uniqueCount="147">
  <si>
    <t>Travelling and conveyance</t>
  </si>
  <si>
    <t>Rates and taxes</t>
  </si>
  <si>
    <t>Miscellaneous expenses</t>
  </si>
  <si>
    <t>Insurance</t>
  </si>
  <si>
    <t>FY 19-20</t>
  </si>
  <si>
    <t>FY 20-21</t>
  </si>
  <si>
    <t>FY 21-22</t>
  </si>
  <si>
    <t>Head</t>
  </si>
  <si>
    <t>A&amp;G Expenses</t>
  </si>
  <si>
    <t>Employee Expenses</t>
  </si>
  <si>
    <t>Electricity Expenses - Office</t>
  </si>
  <si>
    <t>Printing &amp; Stationery</t>
  </si>
  <si>
    <t>Books &amp; Periodicals</t>
  </si>
  <si>
    <t>Membership &amp; Subscription</t>
  </si>
  <si>
    <t>Seminar &amp; Training - Fees</t>
  </si>
  <si>
    <t>Seminar &amp; Training - Other Expenses</t>
  </si>
  <si>
    <t>Security Expenses</t>
  </si>
  <si>
    <t>Postage &amp; Courier</t>
  </si>
  <si>
    <t>Telephone Expenses - Mobile</t>
  </si>
  <si>
    <t>Internet Charges</t>
  </si>
  <si>
    <t>Advertisement Expenses - General</t>
  </si>
  <si>
    <t>Encotech Energy</t>
  </si>
  <si>
    <t>R&amp;M Expenses</t>
  </si>
  <si>
    <t>Petition/ Licence fees (VIPL-T)</t>
  </si>
  <si>
    <t>AMC charges</t>
  </si>
  <si>
    <t>Line mans</t>
  </si>
  <si>
    <t>KPI based AMC charges @10%</t>
  </si>
  <si>
    <t>Qty</t>
  </si>
  <si>
    <t>Man-day rate</t>
  </si>
  <si>
    <t>Month Rate (Rs.)</t>
  </si>
  <si>
    <t>Annual Expense (Rs.)</t>
  </si>
  <si>
    <t>GST (Rs.)</t>
  </si>
  <si>
    <t>Annual Exp (Rs. Cr)</t>
  </si>
  <si>
    <t>Total</t>
  </si>
  <si>
    <t>Other Maintenance charges</t>
  </si>
  <si>
    <t>Encotech AMC</t>
  </si>
  <si>
    <t>Total O&amp;M</t>
  </si>
  <si>
    <t>WO No.</t>
  </si>
  <si>
    <t>Date</t>
  </si>
  <si>
    <t>Period</t>
  </si>
  <si>
    <t>SERA/MSA/33517488</t>
  </si>
  <si>
    <t>Agency</t>
  </si>
  <si>
    <t>Security Solutions</t>
  </si>
  <si>
    <t>Universal</t>
  </si>
  <si>
    <t>SERA/MSA/33519412</t>
  </si>
  <si>
    <t>Manpower</t>
  </si>
  <si>
    <t>Security Guard (Civil)</t>
  </si>
  <si>
    <t>Security Guard (ESM)</t>
  </si>
  <si>
    <t>Security Supervisor (ESM)</t>
  </si>
  <si>
    <t>01.08.2020 to 30.09.2020</t>
  </si>
  <si>
    <t>Wages/ Month</t>
  </si>
  <si>
    <t>Prime Guard Security</t>
  </si>
  <si>
    <t>SERA/MSA/33520663</t>
  </si>
  <si>
    <t>FY 20-21 (2 months)</t>
  </si>
  <si>
    <t xml:space="preserve">FY 19-20 </t>
  </si>
  <si>
    <t>SERA/MSA/33518193</t>
  </si>
  <si>
    <t>01.01.2020 to 31.07.2020</t>
  </si>
  <si>
    <t>FY 20-21 (4 months)</t>
  </si>
  <si>
    <t>SERO/MSA/33519581</t>
  </si>
  <si>
    <t>01.10.2020 to 31.03.2021</t>
  </si>
  <si>
    <t>FY 20-21 (6 months)</t>
  </si>
  <si>
    <t>VIPL- Transmission</t>
  </si>
  <si>
    <t>Wages in Rs. Lacs</t>
  </si>
  <si>
    <t xml:space="preserve">FY 21-22 </t>
  </si>
  <si>
    <t>Rates and taxes (Petition/Licence Fees)</t>
  </si>
  <si>
    <t>19-20</t>
  </si>
  <si>
    <t>20-21</t>
  </si>
  <si>
    <t>21-22</t>
  </si>
  <si>
    <t>Generation</t>
  </si>
  <si>
    <t>Transmission</t>
  </si>
  <si>
    <t>Ratio</t>
  </si>
  <si>
    <t>Total GFA</t>
  </si>
  <si>
    <t>VIPL-T</t>
  </si>
  <si>
    <t>VIPL-G</t>
  </si>
  <si>
    <t>Employees</t>
  </si>
  <si>
    <t>JB Enterprises</t>
  </si>
  <si>
    <t>SERO/MSM/33518547</t>
  </si>
  <si>
    <t>HIRING OF HELPER</t>
  </si>
  <si>
    <t>HIRING OF SKILLED MANPOWER(ELECTRICIAN)</t>
  </si>
  <si>
    <t>ELECTRICIAN (SEMI SKILLED)</t>
  </si>
  <si>
    <t>Wages/month</t>
  </si>
  <si>
    <t>New JB Enterprises</t>
  </si>
  <si>
    <t>SERO/MSM/33520535</t>
  </si>
  <si>
    <t>FY21-22</t>
  </si>
  <si>
    <t>JB Enterprise</t>
  </si>
  <si>
    <t>New JB</t>
  </si>
  <si>
    <t>Total Employee</t>
  </si>
  <si>
    <t>Total R&amp;M</t>
  </si>
  <si>
    <t>Total A&amp;G</t>
  </si>
  <si>
    <t>Remark</t>
  </si>
  <si>
    <t>Employee exp for 4 staff for Transmission business- Based on approach approved in MERC Order 301 of 2019</t>
  </si>
  <si>
    <t>Maintenance exp for 4 no. of manpower- same as approach approved in MERC Order 301 of 2019</t>
  </si>
  <si>
    <t>VIPL- Expenses as per Audited Accounts (Rs. Lacs)</t>
  </si>
  <si>
    <t>Expenses allocated to Transmission for 4 employees</t>
  </si>
  <si>
    <t>Expenses allocated to Transmission based on share of GFA</t>
  </si>
  <si>
    <t>Expenses allocated to Transmission for 4 no. manpower</t>
  </si>
  <si>
    <t>A</t>
  </si>
  <si>
    <t>B</t>
  </si>
  <si>
    <t>C</t>
  </si>
  <si>
    <t>S. No.</t>
  </si>
  <si>
    <t>VIPL-Tranmission: O&amp;M expenses (Rs. Lacs)</t>
  </si>
  <si>
    <t>FY 22-23</t>
  </si>
  <si>
    <t>SERO/MSM/33522414</t>
  </si>
  <si>
    <t>6 months</t>
  </si>
  <si>
    <t>VIPL-T R&amp;M Expenses</t>
  </si>
  <si>
    <t>FY 17-18 (Table 6 of MYT Order in Case No. 301 of 2019)</t>
  </si>
  <si>
    <t>FY 18-19 (Table 7 of MYT Order in Case No. 301 of 2019)</t>
  </si>
  <si>
    <t>FY 19-20 (Claimed in MTR Petition)</t>
  </si>
  <si>
    <t>Wages/ Month (Rs.)</t>
  </si>
  <si>
    <t>Actual fees paid for MYT petition filings/ License fees</t>
  </si>
  <si>
    <t>16 May'19 to 31 Mar'20</t>
  </si>
  <si>
    <t>1 April'19 to 31 Mar'20</t>
  </si>
  <si>
    <t>Work Order No.</t>
  </si>
  <si>
    <t>Name of the Party</t>
  </si>
  <si>
    <t>Contract Period</t>
  </si>
  <si>
    <t>Ref. in Work order</t>
  </si>
  <si>
    <t>Page No. 10</t>
  </si>
  <si>
    <t>Amount (Rs.)</t>
  </si>
  <si>
    <t>16.05.2019 to 31.03.2020</t>
  </si>
  <si>
    <t>Man-day rate for Skilled Resource</t>
  </si>
  <si>
    <t>Page No.1</t>
  </si>
  <si>
    <t>Wages/ Month for Helper</t>
  </si>
  <si>
    <t>Wages/ Month for Semi-Skilled Electrician</t>
  </si>
  <si>
    <t>Wages/ Month for Skilled Electrician</t>
  </si>
  <si>
    <t>01.04.2020 to 31.03.2021</t>
  </si>
  <si>
    <t>01.04.2021 to 31.03.2022</t>
  </si>
  <si>
    <t>01.04.2022 to 31.03.2023</t>
  </si>
  <si>
    <t>Page No. 11</t>
  </si>
  <si>
    <t>16.05.2018 to 15.05.2019</t>
  </si>
  <si>
    <t>GFA (Rs. Lakh)</t>
  </si>
  <si>
    <t>Project Contract Expenses</t>
  </si>
  <si>
    <t>Testing Charges</t>
  </si>
  <si>
    <t>FOOD EXPENSES OUTSIDERS</t>
  </si>
  <si>
    <t>Inspection Fees</t>
  </si>
  <si>
    <t>Horticulture Expenses</t>
  </si>
  <si>
    <t>Hire Charges - Contracted Services (Operations)</t>
  </si>
  <si>
    <t>Gifts &amp;  Compliments to Employees</t>
  </si>
  <si>
    <t>Gifts, Compliments  to Outsiders</t>
  </si>
  <si>
    <t>Other Miscellaneous Expenses</t>
  </si>
  <si>
    <t>FY 2019-20</t>
  </si>
  <si>
    <t>FY 2020-21</t>
  </si>
  <si>
    <t>FY 2021-22</t>
  </si>
  <si>
    <t>Total Misc Expenses in Audited Accounts</t>
  </si>
  <si>
    <t xml:space="preserve">Considered for allocation to Transmission </t>
  </si>
  <si>
    <t>Not considered</t>
  </si>
  <si>
    <t>Total Misc Expenses considered for allocation</t>
  </si>
  <si>
    <t>Break-up of Misc Expenses booked in Audited Accounts (Rs. Lakhs)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</si>
</sst>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(* #,##0_);_(* \(#,##0\);_(* &quot;-&quot;??_);_(@_)"/>
    <numFmt numFmtId="165" formatCode="0.0"/>
    <numFmt numFmtId="166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mbria"/>
      <family val="1"/>
      <scheme val="major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A"/>
        <bgColor rgb="FF000000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164" fontId="4" fillId="0" borderId="0" xfId="1" applyNumberFormat="1" applyFont="1" applyFill="1" applyBorder="1" applyAlignment="1">
      <alignment horizontal="center" vertical="top"/>
    </xf>
    <xf numFmtId="0" fontId="4" fillId="0" borderId="0" xfId="0" applyFont="1" applyFill="1" applyBorder="1"/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0" fontId="4" fillId="0" borderId="0" xfId="0" applyFont="1" applyFill="1" applyBorder="1" applyAlignment="1">
      <alignment horizontal="left" indent="2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9" fontId="0" fillId="0" borderId="0" xfId="2" applyFont="1"/>
    <xf numFmtId="165" fontId="0" fillId="0" borderId="2" xfId="0" applyNumberFormat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64" fontId="4" fillId="0" borderId="2" xfId="1" applyNumberFormat="1" applyFont="1" applyFill="1" applyBorder="1" applyAlignment="1">
      <alignment horizontal="center" vertical="top"/>
    </xf>
    <xf numFmtId="43" fontId="0" fillId="0" borderId="2" xfId="1" applyFont="1" applyFill="1" applyBorder="1"/>
    <xf numFmtId="0" fontId="4" fillId="0" borderId="2" xfId="0" applyFont="1" applyFill="1" applyBorder="1"/>
    <xf numFmtId="1" fontId="5" fillId="0" borderId="2" xfId="0" applyNumberFormat="1" applyFont="1" applyFill="1" applyBorder="1" applyAlignment="1">
      <alignment horizontal="left" vertical="center" indent="2"/>
    </xf>
    <xf numFmtId="0" fontId="0" fillId="0" borderId="0" xfId="0" applyFill="1"/>
    <xf numFmtId="43" fontId="0" fillId="0" borderId="2" xfId="3" applyFont="1" applyFill="1" applyBorder="1"/>
    <xf numFmtId="1" fontId="8" fillId="0" borderId="2" xfId="0" applyNumberFormat="1" applyFont="1" applyFill="1" applyBorder="1" applyAlignment="1">
      <alignment horizontal="left" vertical="center" indent="2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2" xfId="0" applyNumberFormat="1" applyFill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10" fillId="0" borderId="0" xfId="0" applyNumberFormat="1" applyFont="1" applyFill="1"/>
    <xf numFmtId="0" fontId="10" fillId="0" borderId="0" xfId="0" applyFont="1" applyFill="1"/>
    <xf numFmtId="1" fontId="10" fillId="0" borderId="0" xfId="0" applyNumberFormat="1" applyFont="1"/>
    <xf numFmtId="0" fontId="4" fillId="0" borderId="0" xfId="0" applyFont="1" applyFill="1" applyBorder="1" applyAlignment="1">
      <alignment wrapText="1"/>
    </xf>
    <xf numFmtId="0" fontId="10" fillId="0" borderId="0" xfId="0" applyFont="1"/>
    <xf numFmtId="1" fontId="8" fillId="0" borderId="1" xfId="0" applyNumberFormat="1" applyFont="1" applyFill="1" applyBorder="1" applyAlignment="1">
      <alignment horizontal="left" vertical="center" indent="2"/>
    </xf>
    <xf numFmtId="2" fontId="10" fillId="0" borderId="0" xfId="0" applyNumberFormat="1" applyFont="1"/>
    <xf numFmtId="2" fontId="11" fillId="0" borderId="0" xfId="0" applyNumberFormat="1" applyFont="1"/>
    <xf numFmtId="2" fontId="3" fillId="0" borderId="2" xfId="0" applyNumberFormat="1" applyFont="1" applyFill="1" applyBorder="1"/>
    <xf numFmtId="0" fontId="3" fillId="0" borderId="0" xfId="0" applyFont="1" applyFill="1"/>
    <xf numFmtId="14" fontId="0" fillId="0" borderId="0" xfId="0" applyNumberFormat="1" applyFill="1"/>
    <xf numFmtId="0" fontId="3" fillId="0" borderId="0" xfId="0" applyFont="1" applyFill="1" applyBorder="1"/>
    <xf numFmtId="2" fontId="3" fillId="0" borderId="0" xfId="0" applyNumberFormat="1" applyFont="1" applyFill="1" applyBorder="1"/>
    <xf numFmtId="1" fontId="0" fillId="0" borderId="0" xfId="0" applyNumberForma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/>
    </xf>
    <xf numFmtId="0" fontId="15" fillId="0" borderId="2" xfId="0" applyFont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7" fillId="0" borderId="0" xfId="0" applyFont="1"/>
    <xf numFmtId="0" fontId="16" fillId="0" borderId="0" xfId="0" applyFont="1"/>
    <xf numFmtId="2" fontId="16" fillId="0" borderId="0" xfId="0" applyNumberFormat="1" applyFont="1"/>
    <xf numFmtId="166" fontId="15" fillId="0" borderId="1" xfId="1" applyNumberFormat="1" applyFont="1" applyFill="1" applyBorder="1" applyAlignment="1">
      <alignment vertical="center"/>
    </xf>
    <xf numFmtId="0" fontId="17" fillId="3" borderId="1" xfId="0" applyFont="1" applyFill="1" applyBorder="1"/>
    <xf numFmtId="166" fontId="18" fillId="4" borderId="1" xfId="1" applyNumberFormat="1" applyFont="1" applyFill="1" applyBorder="1" applyAlignment="1">
      <alignment vertical="center"/>
    </xf>
    <xf numFmtId="1" fontId="16" fillId="0" borderId="1" xfId="0" applyNumberFormat="1" applyFont="1" applyFill="1" applyBorder="1" applyAlignment="1">
      <alignment vertical="center"/>
    </xf>
    <xf numFmtId="1" fontId="17" fillId="5" borderId="1" xfId="0" applyNumberFormat="1" applyFont="1" applyFill="1" applyBorder="1" applyAlignment="1">
      <alignment vertical="center"/>
    </xf>
    <xf numFmtId="0" fontId="17" fillId="5" borderId="0" xfId="0" applyFont="1" applyFill="1" applyAlignment="1">
      <alignment horizontal="center"/>
    </xf>
    <xf numFmtId="0" fontId="17" fillId="5" borderId="0" xfId="0" applyFont="1" applyFill="1" applyBorder="1" applyAlignment="1">
      <alignment horizontal="left"/>
    </xf>
    <xf numFmtId="2" fontId="0" fillId="0" borderId="0" xfId="0" applyNumberFormat="1" applyFill="1"/>
    <xf numFmtId="0" fontId="9" fillId="0" borderId="0" xfId="0" applyFont="1" applyFill="1"/>
    <xf numFmtId="1" fontId="0" fillId="0" borderId="0" xfId="0" applyNumberFormat="1" applyFill="1"/>
    <xf numFmtId="0" fontId="0" fillId="0" borderId="2" xfId="0" applyFont="1" applyFill="1" applyBorder="1"/>
    <xf numFmtId="0" fontId="0" fillId="0" borderId="2" xfId="0" applyFill="1" applyBorder="1" applyAlignment="1">
      <alignment wrapText="1"/>
    </xf>
    <xf numFmtId="43" fontId="3" fillId="0" borderId="2" xfId="1" applyFont="1" applyFill="1" applyBorder="1"/>
    <xf numFmtId="10" fontId="0" fillId="0" borderId="0" xfId="2" applyNumberFormat="1" applyFont="1" applyFill="1"/>
    <xf numFmtId="43" fontId="3" fillId="0" borderId="0" xfId="1" applyFont="1" applyFill="1"/>
    <xf numFmtId="43" fontId="2" fillId="0" borderId="0" xfId="1" applyFont="1" applyFill="1"/>
    <xf numFmtId="1" fontId="10" fillId="0" borderId="0" xfId="0" applyNumberFormat="1" applyFont="1" applyFill="1"/>
    <xf numFmtId="0" fontId="0" fillId="0" borderId="2" xfId="0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4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43" fontId="0" fillId="0" borderId="0" xfId="0" applyNumberFormat="1" applyFill="1"/>
    <xf numFmtId="43" fontId="0" fillId="0" borderId="0" xfId="1" applyFont="1" applyFill="1"/>
  </cellXfs>
  <cellStyles count="4">
    <cellStyle name="Comma" xfId="1" builtinId="3"/>
    <cellStyle name="Comma 11 48" xf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002070/Desktop/VIPL/VIPL%20Transmission/Finance%20data/Audited%20Accounts/VIPL-BS%20-AS%20AT%20%2031-03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002070/Desktop/VIPL/VIPL%20Transmission/Finance%20data/Audited%20Accounts/VIPL-BS%20-AS%20AT%20%2031-03-2021-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002070/Desktop/VIPL/VIPL%20Transmission/Finance%20data/Audited%20Accounts/BS-VIPL%20AS%20AT%2031.03.2022%20final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AP P&amp;L"/>
      <sheetName val="GAAP BS"/>
      <sheetName val="Ind AS entries"/>
      <sheetName val="BS"/>
      <sheetName val="P&amp;L"/>
      <sheetName val="SOCE"/>
      <sheetName val="Cash Flow"/>
      <sheetName val="Cashflow working"/>
      <sheetName val="PPE_3.1"/>
      <sheetName val="PPE"/>
      <sheetName val="Intangible_3.2"/>
      <sheetName val="Schedule BS"/>
      <sheetName val="Borrowings"/>
      <sheetName val="3.8"/>
      <sheetName val="3.9"/>
      <sheetName val="Sch PL"/>
      <sheetName val="Sub Schedules (IND AS)"/>
      <sheetName val="TB - Adj"/>
      <sheetName val="JOURNAL IND AS"/>
      <sheetName val="Journals"/>
      <sheetName val="SAP TB "/>
      <sheetName val="IT Provision"/>
      <sheetName val="Sheet3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5">
          <cell r="D135">
            <v>97.3184057</v>
          </cell>
        </row>
        <row r="140">
          <cell r="D140">
            <v>417.2282237</v>
          </cell>
        </row>
      </sheetData>
      <sheetData sheetId="16">
        <row r="1352">
          <cell r="C1352">
            <v>660</v>
          </cell>
        </row>
        <row r="1363">
          <cell r="C1363">
            <v>0.80405419999999994</v>
          </cell>
        </row>
        <row r="1364">
          <cell r="C1364">
            <v>6.9449999999999998E-2</v>
          </cell>
        </row>
        <row r="1365">
          <cell r="C1365">
            <v>0.1</v>
          </cell>
        </row>
        <row r="1366">
          <cell r="C1366">
            <v>0.15601999999999999</v>
          </cell>
        </row>
        <row r="1367">
          <cell r="C1367">
            <v>7.0000000000000007E-2</v>
          </cell>
        </row>
        <row r="1370">
          <cell r="C1370">
            <v>122.53192130000001</v>
          </cell>
        </row>
        <row r="1372">
          <cell r="C1372">
            <v>0.28192</v>
          </cell>
        </row>
        <row r="1375">
          <cell r="C1375">
            <v>9.4182900000000014E-2</v>
          </cell>
        </row>
        <row r="1379">
          <cell r="C1379">
            <v>0.14491000000000001</v>
          </cell>
        </row>
        <row r="1393">
          <cell r="C1393">
            <v>5.0893899999999999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AP P&amp;L"/>
      <sheetName val="GAAP BS"/>
      <sheetName val="Ind AS entries"/>
      <sheetName val="BS"/>
      <sheetName val="P&amp;L"/>
      <sheetName val="SOCE"/>
      <sheetName val="Cashflow working"/>
      <sheetName val="PPE_3.1"/>
      <sheetName val="PPE"/>
      <sheetName val="Intangible_3.2"/>
      <sheetName val="Sch PL"/>
      <sheetName val="Cash Flow"/>
      <sheetName val="Schedule BS"/>
      <sheetName val="3.8"/>
      <sheetName val="3.9"/>
      <sheetName val="Sub Schedules (IND AS)"/>
      <sheetName val="Borrowings"/>
      <sheetName val="TB - Adj"/>
      <sheetName val="JOURNAL IND AS"/>
      <sheetName val="Journals"/>
      <sheetName val="SAP TB "/>
      <sheetName val="IT Provision"/>
      <sheetName val="Sheet3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6">
          <cell r="D136">
            <v>18.34</v>
          </cell>
        </row>
        <row r="141">
          <cell r="D141">
            <v>154.62</v>
          </cell>
        </row>
      </sheetData>
      <sheetData sheetId="11"/>
      <sheetData sheetId="12"/>
      <sheetData sheetId="13"/>
      <sheetData sheetId="14"/>
      <sheetData sheetId="15">
        <row r="1354">
          <cell r="C1354">
            <v>564.28</v>
          </cell>
        </row>
        <row r="1365">
          <cell r="C1365">
            <v>0.02</v>
          </cell>
        </row>
        <row r="1367">
          <cell r="C1367">
            <v>0.1</v>
          </cell>
        </row>
        <row r="1372">
          <cell r="C1372">
            <v>82.47</v>
          </cell>
        </row>
        <row r="1377">
          <cell r="C1377">
            <v>0.35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AP P&amp;L"/>
      <sheetName val="GAAP BS"/>
      <sheetName val="Ind AS entries"/>
      <sheetName val="BS"/>
      <sheetName val="P&amp;L"/>
      <sheetName val="SOCE"/>
      <sheetName val="Cash Flow"/>
      <sheetName val="PPE_3.1"/>
      <sheetName val="PPE"/>
      <sheetName val="Intangible_3.2"/>
      <sheetName val="Borrowings"/>
      <sheetName val="Sch BS"/>
      <sheetName val="3.9"/>
      <sheetName val="3.10"/>
      <sheetName val="Cashflow working"/>
      <sheetName val="Promoter holdings"/>
      <sheetName val="Sch PL"/>
      <sheetName val="Ratios"/>
      <sheetName val="Sub Schedules (IND AS)"/>
      <sheetName val="TB - Adj"/>
      <sheetName val="JOURNAL IND AS"/>
      <sheetName val="Journals"/>
      <sheetName val="SAP TB "/>
      <sheetName val="IT Provision"/>
      <sheetName val="Sheet3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6">
          <cell r="D136">
            <v>15.76</v>
          </cell>
        </row>
        <row r="141">
          <cell r="D141">
            <v>103.33</v>
          </cell>
        </row>
      </sheetData>
      <sheetData sheetId="17"/>
      <sheetData sheetId="18">
        <row r="1358">
          <cell r="C1358">
            <v>524.34</v>
          </cell>
        </row>
        <row r="1371">
          <cell r="C1371">
            <v>0.14000000000000001</v>
          </cell>
        </row>
        <row r="1376">
          <cell r="C1376">
            <v>81.09</v>
          </cell>
        </row>
        <row r="1381">
          <cell r="C1381">
            <v>1.32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pane xSplit="2" topLeftCell="C1" activePane="topRight" state="frozen"/>
      <selection pane="topRight" activeCell="I2" sqref="I2"/>
    </sheetView>
  </sheetViews>
  <sheetFormatPr defaultRowHeight="15"/>
  <cols>
    <col min="1" max="1" width="6.42578125" style="32" customWidth="1"/>
    <col min="2" max="2" width="34.140625" style="27" customWidth="1"/>
    <col min="3" max="5" width="9.140625" style="27"/>
    <col min="6" max="6" width="54" style="27" customWidth="1"/>
    <col min="7" max="8" width="9.140625" style="27" customWidth="1"/>
    <col min="9" max="9" width="14.28515625" style="27" customWidth="1"/>
    <col min="10" max="12" width="12.28515625" style="27" customWidth="1"/>
    <col min="13" max="13" width="9.140625" style="27" customWidth="1"/>
    <col min="14" max="16384" width="9.140625" style="27"/>
  </cols>
  <sheetData>
    <row r="1" spans="1:16">
      <c r="C1" s="89"/>
    </row>
    <row r="2" spans="1:16" ht="15.75">
      <c r="B2" s="90" t="s">
        <v>100</v>
      </c>
      <c r="I2" s="59" t="s">
        <v>129</v>
      </c>
      <c r="J2" s="59" t="s">
        <v>65</v>
      </c>
      <c r="K2" s="59" t="s">
        <v>66</v>
      </c>
      <c r="L2" s="59" t="s">
        <v>67</v>
      </c>
    </row>
    <row r="3" spans="1:16">
      <c r="I3" s="27" t="s">
        <v>68</v>
      </c>
      <c r="J3" s="91">
        <v>256155</v>
      </c>
      <c r="K3" s="91">
        <v>256148</v>
      </c>
      <c r="L3" s="91">
        <v>256130</v>
      </c>
    </row>
    <row r="4" spans="1:16">
      <c r="A4" s="34" t="s">
        <v>99</v>
      </c>
      <c r="B4" s="30" t="s">
        <v>7</v>
      </c>
      <c r="C4" s="30" t="s">
        <v>4</v>
      </c>
      <c r="D4" s="30" t="s">
        <v>5</v>
      </c>
      <c r="E4" s="30" t="s">
        <v>6</v>
      </c>
      <c r="F4" s="30" t="s">
        <v>89</v>
      </c>
      <c r="I4" s="27" t="s">
        <v>69</v>
      </c>
      <c r="J4" s="91">
        <v>2220</v>
      </c>
      <c r="K4" s="91">
        <f>J4</f>
        <v>2220</v>
      </c>
      <c r="L4" s="91">
        <f>K4</f>
        <v>2220</v>
      </c>
    </row>
    <row r="5" spans="1:16">
      <c r="A5" s="34" t="s">
        <v>96</v>
      </c>
      <c r="B5" s="30" t="s">
        <v>9</v>
      </c>
      <c r="C5" s="35"/>
      <c r="D5" s="23"/>
      <c r="E5" s="35"/>
      <c r="F5" s="35"/>
      <c r="I5" s="27" t="s">
        <v>71</v>
      </c>
      <c r="J5" s="91">
        <f>SUM(J3:J4)</f>
        <v>258375</v>
      </c>
      <c r="K5" s="91">
        <f t="shared" ref="K5:L5" si="0">SUM(K3:K4)</f>
        <v>258368</v>
      </c>
      <c r="L5" s="91">
        <f t="shared" si="0"/>
        <v>258350</v>
      </c>
    </row>
    <row r="6" spans="1:16" ht="29.25" customHeight="1">
      <c r="A6" s="36">
        <v>1</v>
      </c>
      <c r="B6" s="92" t="s">
        <v>9</v>
      </c>
      <c r="C6" s="28">
        <v>57.470000000000013</v>
      </c>
      <c r="D6" s="28">
        <v>57.750000000000007</v>
      </c>
      <c r="E6" s="28">
        <v>65.510000000000005</v>
      </c>
      <c r="F6" s="93" t="s">
        <v>90</v>
      </c>
      <c r="I6" s="59" t="s">
        <v>70</v>
      </c>
    </row>
    <row r="7" spans="1:16">
      <c r="A7" s="36"/>
      <c r="B7" s="30" t="s">
        <v>86</v>
      </c>
      <c r="C7" s="94">
        <f>C6</f>
        <v>57.470000000000013</v>
      </c>
      <c r="D7" s="94">
        <f t="shared" ref="D7:E7" si="1">D6</f>
        <v>57.750000000000007</v>
      </c>
      <c r="E7" s="94">
        <f t="shared" si="1"/>
        <v>65.510000000000005</v>
      </c>
      <c r="F7" s="35"/>
      <c r="I7" s="27" t="s">
        <v>68</v>
      </c>
      <c r="J7" s="95">
        <f>J3/J5</f>
        <v>0.99140783744557326</v>
      </c>
      <c r="K7" s="95">
        <f t="shared" ref="K7:L7" si="2">K3/K5</f>
        <v>0.99140760465692346</v>
      </c>
      <c r="L7" s="95">
        <f t="shared" si="2"/>
        <v>0.99140700599961296</v>
      </c>
    </row>
    <row r="8" spans="1:16">
      <c r="A8" s="36"/>
      <c r="B8" s="35"/>
      <c r="C8" s="35"/>
      <c r="D8" s="35"/>
      <c r="E8" s="35"/>
      <c r="F8" s="35"/>
      <c r="I8" s="27" t="s">
        <v>69</v>
      </c>
      <c r="J8" s="95">
        <f>J4/J5</f>
        <v>8.5921625544267046E-3</v>
      </c>
      <c r="K8" s="95">
        <f t="shared" ref="K8:L8" si="3">K4/K5</f>
        <v>8.5923953430765421E-3</v>
      </c>
      <c r="L8" s="95">
        <f t="shared" si="3"/>
        <v>8.592994000387072E-3</v>
      </c>
    </row>
    <row r="9" spans="1:16">
      <c r="A9" s="34" t="s">
        <v>97</v>
      </c>
      <c r="B9" s="30" t="s">
        <v>22</v>
      </c>
      <c r="C9" s="24"/>
      <c r="D9" s="24"/>
      <c r="E9" s="24"/>
      <c r="F9" s="35"/>
    </row>
    <row r="10" spans="1:16">
      <c r="A10" s="36">
        <v>1</v>
      </c>
      <c r="B10" s="92" t="s">
        <v>35</v>
      </c>
      <c r="C10" s="24">
        <f>'R&amp;M'!H26*100</f>
        <v>15.91493376</v>
      </c>
      <c r="D10" s="24"/>
      <c r="E10" s="24"/>
      <c r="F10" s="99" t="s">
        <v>91</v>
      </c>
    </row>
    <row r="11" spans="1:16">
      <c r="A11" s="36">
        <v>2</v>
      </c>
      <c r="B11" s="35" t="s">
        <v>84</v>
      </c>
      <c r="C11" s="24"/>
      <c r="D11" s="24">
        <f>'R&amp;M'!E44*100</f>
        <v>9.9976307999999996</v>
      </c>
      <c r="E11" s="24"/>
      <c r="F11" s="99"/>
    </row>
    <row r="12" spans="1:16">
      <c r="A12" s="36">
        <v>3</v>
      </c>
      <c r="B12" s="35" t="s">
        <v>85</v>
      </c>
      <c r="C12" s="24"/>
      <c r="D12" s="24"/>
      <c r="E12" s="24">
        <f>'R&amp;M'!E60*100</f>
        <v>10.2143064</v>
      </c>
      <c r="F12" s="99"/>
    </row>
    <row r="13" spans="1:16">
      <c r="A13" s="36"/>
      <c r="B13" s="30" t="s">
        <v>87</v>
      </c>
      <c r="C13" s="94">
        <f>SUM(C10:C12)</f>
        <v>15.91493376</v>
      </c>
      <c r="D13" s="94">
        <f t="shared" ref="D13:E13" si="4">SUM(D10:D12)</f>
        <v>9.9976307999999996</v>
      </c>
      <c r="E13" s="94">
        <f t="shared" si="4"/>
        <v>10.2143064</v>
      </c>
      <c r="F13" s="35"/>
      <c r="N13" s="109"/>
      <c r="O13" s="109"/>
      <c r="P13" s="109"/>
    </row>
    <row r="14" spans="1:16">
      <c r="A14" s="36"/>
      <c r="B14" s="35"/>
      <c r="C14" s="24"/>
      <c r="D14" s="24"/>
      <c r="E14" s="24"/>
      <c r="F14" s="35"/>
      <c r="I14" s="59" t="s">
        <v>74</v>
      </c>
      <c r="N14" s="109"/>
      <c r="O14" s="109"/>
      <c r="P14" s="109"/>
    </row>
    <row r="15" spans="1:16">
      <c r="A15" s="34" t="s">
        <v>98</v>
      </c>
      <c r="B15" s="30" t="s">
        <v>8</v>
      </c>
      <c r="C15" s="24"/>
      <c r="D15" s="24"/>
      <c r="E15" s="24"/>
      <c r="F15" s="35"/>
      <c r="I15" s="27" t="s">
        <v>73</v>
      </c>
      <c r="J15" s="27">
        <f>J17-J16</f>
        <v>167</v>
      </c>
      <c r="K15" s="27">
        <f t="shared" ref="K15:L15" si="5">K17-K16</f>
        <v>24</v>
      </c>
      <c r="L15" s="27">
        <f t="shared" si="5"/>
        <v>19</v>
      </c>
    </row>
    <row r="16" spans="1:16">
      <c r="A16" s="36">
        <v>1</v>
      </c>
      <c r="B16" s="25" t="s">
        <v>64</v>
      </c>
      <c r="C16" s="24">
        <f>15+2</f>
        <v>17</v>
      </c>
      <c r="D16" s="24">
        <v>2</v>
      </c>
      <c r="E16" s="24">
        <v>2</v>
      </c>
      <c r="F16" s="35" t="s">
        <v>109</v>
      </c>
      <c r="I16" s="27" t="s">
        <v>72</v>
      </c>
      <c r="J16" s="27">
        <v>4</v>
      </c>
      <c r="K16" s="27">
        <v>4</v>
      </c>
      <c r="L16" s="27">
        <v>4</v>
      </c>
      <c r="N16" s="110"/>
      <c r="O16" s="110"/>
      <c r="P16" s="110"/>
    </row>
    <row r="17" spans="1:16">
      <c r="A17" s="36">
        <v>2</v>
      </c>
      <c r="B17" s="25" t="s">
        <v>0</v>
      </c>
      <c r="C17" s="24">
        <f>'A&amp;G- Audited Accounts'!C7*'O&amp;M-Final'!J16/'O&amp;M-Final'!J17</f>
        <v>2.276453934502924</v>
      </c>
      <c r="D17" s="24">
        <f>'A&amp;G- Audited Accounts'!D7*'O&amp;M-Final'!K16/'O&amp;M-Final'!K17</f>
        <v>2.62</v>
      </c>
      <c r="E17" s="24">
        <f>'A&amp;G- Audited Accounts'!E7*'O&amp;M-Final'!L16/'O&amp;M-Final'!L17</f>
        <v>2.7408695652173911</v>
      </c>
      <c r="F17" s="35" t="s">
        <v>93</v>
      </c>
      <c r="I17" s="59" t="s">
        <v>33</v>
      </c>
      <c r="J17" s="59">
        <v>171</v>
      </c>
      <c r="K17" s="59">
        <v>28</v>
      </c>
      <c r="L17" s="59">
        <v>23</v>
      </c>
      <c r="N17" s="110"/>
      <c r="O17" s="110"/>
      <c r="P17" s="110"/>
    </row>
    <row r="18" spans="1:16">
      <c r="A18" s="36">
        <v>3</v>
      </c>
      <c r="B18" s="25" t="s">
        <v>3</v>
      </c>
      <c r="C18" s="24">
        <f>'A&amp;G- Audited Accounts'!C8*'O&amp;M-Final'!J8</f>
        <v>3.5848927203251084</v>
      </c>
      <c r="D18" s="24">
        <f>'A&amp;G- Audited Accounts'!D8*'O&amp;M-Final'!K8</f>
        <v>1.328556167946495</v>
      </c>
      <c r="E18" s="24">
        <f>'A&amp;G- Audited Accounts'!E8*'O&amp;M-Final'!L8</f>
        <v>0.88791407005999612</v>
      </c>
      <c r="F18" s="35" t="s">
        <v>94</v>
      </c>
      <c r="N18" s="110"/>
      <c r="O18" s="110"/>
      <c r="P18" s="110"/>
    </row>
    <row r="19" spans="1:16">
      <c r="A19" s="36">
        <v>4</v>
      </c>
      <c r="B19" s="25" t="s">
        <v>10</v>
      </c>
      <c r="C19" s="24">
        <f>'A&amp;G- Audited Accounts'!C9*'O&amp;M-Final'!$J$8</f>
        <v>5.6708272859216251</v>
      </c>
      <c r="D19" s="24">
        <f>'A&amp;G- Audited Accounts'!D9*'O&amp;M-Final'!$K$8</f>
        <v>0</v>
      </c>
      <c r="E19" s="24">
        <f>'A&amp;G- Audited Accounts'!E9*'O&amp;M-Final'!$L$8</f>
        <v>4.5056504741629579</v>
      </c>
      <c r="F19" s="35" t="s">
        <v>94</v>
      </c>
      <c r="N19" s="110"/>
      <c r="O19" s="110"/>
      <c r="P19" s="110"/>
    </row>
    <row r="20" spans="1:16">
      <c r="A20" s="36">
        <v>5</v>
      </c>
      <c r="B20" s="25" t="s">
        <v>2</v>
      </c>
      <c r="C20" s="24"/>
      <c r="D20" s="24"/>
      <c r="E20" s="24"/>
      <c r="F20" s="35"/>
      <c r="N20" s="110"/>
      <c r="O20" s="110"/>
      <c r="P20" s="110"/>
    </row>
    <row r="21" spans="1:16">
      <c r="A21" s="36"/>
      <c r="B21" s="26" t="s">
        <v>11</v>
      </c>
      <c r="C21" s="24">
        <f>'A&amp;G- Audited Accounts'!C11*'O&amp;M-Final'!$J$8</f>
        <v>6.9085643889695196E-3</v>
      </c>
      <c r="D21" s="24">
        <f>'A&amp;G- Audited Accounts'!D11*'O&amp;M-Final'!$K$8</f>
        <v>1.7184790686153084E-4</v>
      </c>
      <c r="E21" s="24">
        <f>'A&amp;G- Audited Accounts'!E11*'O&amp;M-Final'!$L$8</f>
        <v>0</v>
      </c>
      <c r="F21" s="35" t="s">
        <v>94</v>
      </c>
      <c r="N21" s="110"/>
      <c r="O21" s="110"/>
      <c r="P21" s="110"/>
    </row>
    <row r="22" spans="1:16">
      <c r="A22" s="36"/>
      <c r="B22" s="26" t="s">
        <v>12</v>
      </c>
      <c r="C22" s="24">
        <f>'A&amp;G- Audited Accounts'!C12*'O&amp;M-Final'!$J$8</f>
        <v>5.9672568940493461E-4</v>
      </c>
      <c r="D22" s="24">
        <f>'A&amp;G- Audited Accounts'!D12*'O&amp;M-Final'!$K$8</f>
        <v>0</v>
      </c>
      <c r="E22" s="24">
        <f>'A&amp;G- Audited Accounts'!E12*'O&amp;M-Final'!$L$8</f>
        <v>0</v>
      </c>
      <c r="F22" s="35" t="s">
        <v>94</v>
      </c>
      <c r="I22" s="109"/>
      <c r="J22" s="109"/>
      <c r="K22" s="109"/>
      <c r="N22" s="110"/>
      <c r="O22" s="110"/>
      <c r="P22" s="110"/>
    </row>
    <row r="23" spans="1:16">
      <c r="A23" s="36"/>
      <c r="B23" s="26" t="s">
        <v>13</v>
      </c>
      <c r="C23" s="24">
        <f>'A&amp;G- Audited Accounts'!C13*'O&amp;M-Final'!$J$8</f>
        <v>8.5921625544267048E-4</v>
      </c>
      <c r="D23" s="24">
        <f>'A&amp;G- Audited Accounts'!D13*'O&amp;M-Final'!$K$8</f>
        <v>8.5923953430765425E-4</v>
      </c>
      <c r="E23" s="24">
        <f>'A&amp;G- Audited Accounts'!E13*'O&amp;M-Final'!$L$8</f>
        <v>1.2030191600541902E-3</v>
      </c>
      <c r="F23" s="35" t="s">
        <v>94</v>
      </c>
      <c r="N23" s="110"/>
      <c r="O23" s="110"/>
      <c r="P23" s="110"/>
    </row>
    <row r="24" spans="1:16">
      <c r="A24" s="36"/>
      <c r="B24" s="26" t="s">
        <v>14</v>
      </c>
      <c r="C24" s="24">
        <f>'A&amp;G- Audited Accounts'!C14*'O&amp;M-Final'!$J$8</f>
        <v>1.3405492017416543E-3</v>
      </c>
      <c r="D24" s="24">
        <f>'A&amp;G- Audited Accounts'!D14*'O&amp;M-Final'!$K$8</f>
        <v>0</v>
      </c>
      <c r="E24" s="24">
        <f>'A&amp;G- Audited Accounts'!E14*'O&amp;M-Final'!$L$8</f>
        <v>0</v>
      </c>
      <c r="F24" s="35" t="s">
        <v>94</v>
      </c>
      <c r="N24" s="110"/>
      <c r="O24" s="110"/>
      <c r="P24" s="110"/>
    </row>
    <row r="25" spans="1:16">
      <c r="A25" s="36"/>
      <c r="B25" s="26" t="s">
        <v>15</v>
      </c>
      <c r="C25" s="24">
        <f>'A&amp;G- Audited Accounts'!C15*'O&amp;M-Final'!$J$8</f>
        <v>6.0145137880986935E-4</v>
      </c>
      <c r="D25" s="24">
        <f>'A&amp;G- Audited Accounts'!D15*'O&amp;M-Final'!$K$8</f>
        <v>0</v>
      </c>
      <c r="E25" s="24">
        <f>'A&amp;G- Audited Accounts'!E15*'O&amp;M-Final'!$L$8</f>
        <v>0</v>
      </c>
      <c r="F25" s="35" t="s">
        <v>94</v>
      </c>
      <c r="N25" s="110"/>
      <c r="O25" s="110"/>
      <c r="P25" s="110"/>
    </row>
    <row r="26" spans="1:16">
      <c r="A26" s="36"/>
      <c r="B26" s="29" t="s">
        <v>16</v>
      </c>
      <c r="C26" s="24">
        <f>Security!C6</f>
        <v>12.266400000000001</v>
      </c>
      <c r="D26" s="24">
        <f>Security!D6</f>
        <v>12.266400000000001</v>
      </c>
      <c r="E26" s="24">
        <f>Security!E6</f>
        <v>14.177280000000001</v>
      </c>
      <c r="F26" s="35" t="s">
        <v>95</v>
      </c>
      <c r="N26" s="110"/>
      <c r="O26" s="110"/>
      <c r="P26" s="110"/>
    </row>
    <row r="27" spans="1:16">
      <c r="A27" s="36"/>
      <c r="B27" s="26" t="s">
        <v>17</v>
      </c>
      <c r="C27" s="24">
        <f>'A&amp;G- Audited Accounts'!C17*'O&amp;M-Final'!$J$8</f>
        <v>2.4223024673439768E-3</v>
      </c>
      <c r="D27" s="24">
        <f>'A&amp;G- Audited Accounts'!D17*'O&amp;M-Final'!$K$8</f>
        <v>0</v>
      </c>
      <c r="E27" s="24">
        <f>'A&amp;G- Audited Accounts'!E17*'O&amp;M-Final'!$L$8</f>
        <v>0</v>
      </c>
      <c r="F27" s="35" t="s">
        <v>94</v>
      </c>
      <c r="N27" s="110"/>
      <c r="O27" s="110"/>
      <c r="P27" s="110"/>
    </row>
    <row r="28" spans="1:16">
      <c r="A28" s="36"/>
      <c r="B28" s="26" t="s">
        <v>18</v>
      </c>
      <c r="C28" s="24">
        <f>'A&amp;G- Audited Accounts'!C18*'O&amp;M-Final'!$J$8</f>
        <v>8.0923478664731503E-4</v>
      </c>
      <c r="D28" s="24">
        <f>'A&amp;G- Audited Accounts'!D18*'O&amp;M-Final'!$K$8</f>
        <v>3.0073383700767896E-3</v>
      </c>
      <c r="E28" s="24">
        <f>'A&amp;G- Audited Accounts'!E18*'O&amp;M-Final'!$L$8</f>
        <v>1.1342752080510936E-2</v>
      </c>
      <c r="F28" s="35" t="s">
        <v>94</v>
      </c>
      <c r="N28" s="110"/>
      <c r="O28" s="110"/>
      <c r="P28" s="110"/>
    </row>
    <row r="29" spans="1:16">
      <c r="A29" s="36"/>
      <c r="B29" s="26" t="s">
        <v>19</v>
      </c>
      <c r="C29" s="24">
        <f>'A&amp;G- Audited Accounts'!C19*'O&amp;M-Final'!$J$8</f>
        <v>1.2450902757619739E-3</v>
      </c>
      <c r="D29" s="24">
        <f>'A&amp;G- Audited Accounts'!D19*'O&amp;M-Final'!$K$8</f>
        <v>0</v>
      </c>
      <c r="E29" s="24">
        <f>'A&amp;G- Audited Accounts'!E19*'O&amp;M-Final'!$L$8</f>
        <v>0</v>
      </c>
      <c r="F29" s="35" t="s">
        <v>94</v>
      </c>
      <c r="N29" s="110"/>
      <c r="O29" s="110"/>
      <c r="P29" s="110"/>
    </row>
    <row r="30" spans="1:16" s="59" customFormat="1">
      <c r="A30" s="34"/>
      <c r="B30" s="26" t="s">
        <v>20</v>
      </c>
      <c r="C30" s="24">
        <f>'A&amp;G- Audited Accounts'!C20*'O&amp;M-Final'!$J$8</f>
        <v>4.3728866182873728E-2</v>
      </c>
      <c r="D30" s="24">
        <f>'A&amp;G- Audited Accounts'!D20*'O&amp;M-Final'!$K$8</f>
        <v>0</v>
      </c>
      <c r="E30" s="24">
        <f>'A&amp;G- Audited Accounts'!E20*'O&amp;M-Final'!$L$8</f>
        <v>0</v>
      </c>
      <c r="F30" s="35" t="s">
        <v>94</v>
      </c>
      <c r="N30" s="110"/>
      <c r="O30" s="110"/>
      <c r="P30" s="110"/>
    </row>
    <row r="31" spans="1:16" s="59" customFormat="1">
      <c r="A31" s="34"/>
      <c r="B31" s="30" t="s">
        <v>88</v>
      </c>
      <c r="C31" s="94">
        <f>SUM(C16:C30)</f>
        <v>40.857085941376653</v>
      </c>
      <c r="D31" s="94">
        <f t="shared" ref="D31:E31" si="6">SUM(D16:D30)</f>
        <v>18.218994593757738</v>
      </c>
      <c r="E31" s="94">
        <f t="shared" si="6"/>
        <v>24.324259880680913</v>
      </c>
      <c r="F31" s="30"/>
    </row>
    <row r="32" spans="1:16" s="59" customFormat="1">
      <c r="A32" s="34"/>
      <c r="B32" s="26"/>
      <c r="C32" s="24"/>
      <c r="D32" s="24"/>
      <c r="E32" s="24"/>
      <c r="F32" s="30"/>
    </row>
    <row r="33" spans="1:13">
      <c r="A33" s="36"/>
      <c r="B33" s="30" t="s">
        <v>36</v>
      </c>
      <c r="C33" s="94">
        <f>C7+C13+C31</f>
        <v>114.24201970137666</v>
      </c>
      <c r="D33" s="94">
        <f>D7+D13+D31</f>
        <v>85.966625393757752</v>
      </c>
      <c r="E33" s="94">
        <f>E7+E13+E31</f>
        <v>100.04856628068092</v>
      </c>
      <c r="F33" s="35"/>
    </row>
    <row r="34" spans="1:13">
      <c r="B34" s="20"/>
      <c r="C34" s="96"/>
      <c r="D34" s="96"/>
      <c r="E34" s="96"/>
    </row>
    <row r="35" spans="1:13">
      <c r="B35" s="2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3">
      <c r="B36" s="19"/>
      <c r="C36" s="89"/>
      <c r="D36" s="89"/>
      <c r="E36" s="89"/>
    </row>
    <row r="37" spans="1:13">
      <c r="C37" s="89"/>
      <c r="D37" s="89"/>
      <c r="E37" s="89"/>
    </row>
    <row r="38" spans="1:13">
      <c r="C38" s="96"/>
      <c r="D38" s="96"/>
      <c r="E38" s="96"/>
    </row>
    <row r="39" spans="1:13">
      <c r="C39" s="89"/>
      <c r="D39" s="89"/>
      <c r="E39" s="89"/>
    </row>
    <row r="40" spans="1:13">
      <c r="C40" s="97"/>
      <c r="D40" s="97"/>
      <c r="E40" s="97"/>
    </row>
  </sheetData>
  <mergeCells count="1">
    <mergeCell ref="F10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6"/>
  <sheetViews>
    <sheetView topLeftCell="C1" zoomScale="80" zoomScaleNormal="80" workbookViewId="0">
      <selection activeCell="L7" sqref="L7"/>
    </sheetView>
  </sheetViews>
  <sheetFormatPr defaultRowHeight="15"/>
  <cols>
    <col min="2" max="2" width="29" customWidth="1"/>
    <col min="3" max="3" width="10.7109375" style="8" bestFit="1" customWidth="1"/>
    <col min="4" max="4" width="18.42578125" style="8" customWidth="1"/>
    <col min="5" max="5" width="17.5703125" style="8" customWidth="1"/>
    <col min="6" max="6" width="19.42578125" style="8" customWidth="1"/>
    <col min="7" max="7" width="9.140625" style="8"/>
    <col min="8" max="8" width="18.140625" style="8" customWidth="1"/>
    <col min="9" max="9" width="17.7109375" customWidth="1"/>
    <col min="10" max="10" width="16.42578125" customWidth="1"/>
    <col min="11" max="11" width="21.7109375" customWidth="1"/>
    <col min="12" max="12" width="17" style="8" bestFit="1" customWidth="1"/>
    <col min="13" max="13" width="15.140625" style="8" customWidth="1"/>
    <col min="14" max="14" width="43.85546875" customWidth="1"/>
    <col min="15" max="15" width="19.7109375" style="8" customWidth="1"/>
  </cols>
  <sheetData>
    <row r="1" spans="2:15">
      <c r="K1" s="67"/>
      <c r="L1" s="69"/>
      <c r="M1" s="69"/>
      <c r="O1" s="69"/>
    </row>
    <row r="2" spans="2:15">
      <c r="B2" s="3" t="s">
        <v>104</v>
      </c>
      <c r="K2" s="67"/>
      <c r="L2" s="69"/>
      <c r="M2" s="69"/>
      <c r="O2" s="69"/>
    </row>
    <row r="3" spans="2:15">
      <c r="B3" t="s">
        <v>21</v>
      </c>
      <c r="K3" s="67"/>
      <c r="L3" s="69"/>
      <c r="M3" s="69"/>
      <c r="O3" s="69"/>
    </row>
    <row r="4" spans="2:15">
      <c r="I4" s="7"/>
      <c r="K4" s="67"/>
      <c r="L4" s="69"/>
      <c r="M4" s="69"/>
      <c r="O4" s="69"/>
    </row>
    <row r="5" spans="2:15">
      <c r="B5" s="3" t="s">
        <v>105</v>
      </c>
      <c r="K5" s="67"/>
      <c r="L5" s="69"/>
      <c r="M5" s="69"/>
      <c r="O5" s="69"/>
    </row>
    <row r="6" spans="2:15" s="3" customFormat="1" ht="16.5" customHeight="1">
      <c r="B6" s="10" t="s">
        <v>24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32</v>
      </c>
      <c r="J6" s="68" t="s">
        <v>112</v>
      </c>
      <c r="K6" s="68" t="s">
        <v>113</v>
      </c>
      <c r="L6" s="68" t="s">
        <v>114</v>
      </c>
      <c r="M6" s="68" t="s">
        <v>117</v>
      </c>
      <c r="N6" s="70" t="s">
        <v>89</v>
      </c>
      <c r="O6" s="68" t="s">
        <v>115</v>
      </c>
    </row>
    <row r="7" spans="2:15" ht="28.5">
      <c r="B7" s="12" t="s">
        <v>25</v>
      </c>
      <c r="C7" s="13">
        <v>4</v>
      </c>
      <c r="D7" s="13">
        <v>752</v>
      </c>
      <c r="E7" s="13">
        <f>D7*31</f>
        <v>23312</v>
      </c>
      <c r="F7" s="13">
        <f>E7*12*C7</f>
        <v>1118976</v>
      </c>
      <c r="G7" s="14">
        <f>F7*18%</f>
        <v>201415.67999999999</v>
      </c>
      <c r="H7" s="15">
        <f>(F7+G7)/10^7</f>
        <v>0.13203916799999998</v>
      </c>
      <c r="J7" s="71">
        <v>33515679</v>
      </c>
      <c r="K7" s="72" t="s">
        <v>21</v>
      </c>
      <c r="L7" s="71" t="s">
        <v>128</v>
      </c>
      <c r="M7" s="71">
        <v>789</v>
      </c>
      <c r="N7" s="73" t="s">
        <v>119</v>
      </c>
      <c r="O7" s="71" t="s">
        <v>127</v>
      </c>
    </row>
    <row r="8" spans="2:15" ht="28.5">
      <c r="B8" s="12" t="s">
        <v>26</v>
      </c>
      <c r="C8" s="13">
        <v>4</v>
      </c>
      <c r="D8" s="13">
        <f>D7*10%</f>
        <v>75.2</v>
      </c>
      <c r="E8" s="13">
        <f>D8*31</f>
        <v>2331.2000000000003</v>
      </c>
      <c r="F8" s="14">
        <f>E8*12*C8</f>
        <v>111897.60000000001</v>
      </c>
      <c r="G8" s="14">
        <f>F8*18%</f>
        <v>20141.567999999999</v>
      </c>
      <c r="H8" s="15">
        <f>(F8+G8)/10^7</f>
        <v>1.32039168E-2</v>
      </c>
      <c r="J8" s="71">
        <v>33517267</v>
      </c>
      <c r="K8" s="72" t="s">
        <v>21</v>
      </c>
      <c r="L8" s="71" t="s">
        <v>118</v>
      </c>
      <c r="M8" s="71">
        <v>829</v>
      </c>
      <c r="N8" s="73" t="s">
        <v>119</v>
      </c>
      <c r="O8" s="71" t="s">
        <v>116</v>
      </c>
    </row>
    <row r="9" spans="2:15" s="3" customFormat="1">
      <c r="B9" s="10" t="s">
        <v>33</v>
      </c>
      <c r="C9" s="11"/>
      <c r="D9" s="11"/>
      <c r="E9" s="11"/>
      <c r="F9" s="11"/>
      <c r="G9" s="11"/>
      <c r="H9" s="16">
        <f>H7+H8</f>
        <v>0.14524308479999998</v>
      </c>
      <c r="J9" s="100">
        <v>33518547</v>
      </c>
      <c r="K9" s="103" t="s">
        <v>75</v>
      </c>
      <c r="L9" s="106" t="s">
        <v>124</v>
      </c>
      <c r="M9" s="74">
        <v>15565.55</v>
      </c>
      <c r="N9" s="75" t="s">
        <v>121</v>
      </c>
      <c r="O9" s="100" t="s">
        <v>120</v>
      </c>
    </row>
    <row r="10" spans="2:15">
      <c r="J10" s="101"/>
      <c r="K10" s="104"/>
      <c r="L10" s="107"/>
      <c r="M10" s="74">
        <v>27800.93</v>
      </c>
      <c r="N10" s="75" t="s">
        <v>123</v>
      </c>
      <c r="O10" s="101"/>
    </row>
    <row r="11" spans="2:15">
      <c r="B11" s="3" t="s">
        <v>106</v>
      </c>
      <c r="J11" s="102"/>
      <c r="K11" s="105"/>
      <c r="L11" s="108"/>
      <c r="M11" s="74">
        <v>24381.56</v>
      </c>
      <c r="N11" s="75" t="s">
        <v>122</v>
      </c>
      <c r="O11" s="102"/>
    </row>
    <row r="12" spans="2:15">
      <c r="B12" s="10" t="s">
        <v>24</v>
      </c>
      <c r="C12" s="11" t="s">
        <v>27</v>
      </c>
      <c r="D12" s="11" t="s">
        <v>28</v>
      </c>
      <c r="E12" s="11" t="s">
        <v>29</v>
      </c>
      <c r="F12" s="11" t="s">
        <v>30</v>
      </c>
      <c r="G12" s="11" t="s">
        <v>31</v>
      </c>
      <c r="H12" s="11" t="s">
        <v>32</v>
      </c>
      <c r="J12" s="100">
        <v>33520535</v>
      </c>
      <c r="K12" s="103" t="s">
        <v>81</v>
      </c>
      <c r="L12" s="106" t="s">
        <v>125</v>
      </c>
      <c r="M12" s="74">
        <v>15984.18</v>
      </c>
      <c r="N12" s="75" t="s">
        <v>121</v>
      </c>
      <c r="O12" s="100" t="s">
        <v>120</v>
      </c>
    </row>
    <row r="13" spans="2:15">
      <c r="B13" s="12" t="s">
        <v>25</v>
      </c>
      <c r="C13" s="13">
        <v>4</v>
      </c>
      <c r="D13" s="13">
        <v>789</v>
      </c>
      <c r="E13" s="13">
        <f>D13*31</f>
        <v>24459</v>
      </c>
      <c r="F13" s="13">
        <f>E13*12*C13</f>
        <v>1174032</v>
      </c>
      <c r="G13" s="14">
        <f>F13*18%</f>
        <v>211325.75999999998</v>
      </c>
      <c r="H13" s="15">
        <f>(F13+G13)/10^7</f>
        <v>0.138535776</v>
      </c>
      <c r="J13" s="101"/>
      <c r="K13" s="104"/>
      <c r="L13" s="107"/>
      <c r="M13" s="74">
        <v>28295.55</v>
      </c>
      <c r="N13" s="75" t="s">
        <v>123</v>
      </c>
      <c r="O13" s="101"/>
    </row>
    <row r="14" spans="2:15">
      <c r="B14" s="12" t="s">
        <v>26</v>
      </c>
      <c r="C14" s="13">
        <v>4</v>
      </c>
      <c r="D14" s="13">
        <f>D13*10%</f>
        <v>78.900000000000006</v>
      </c>
      <c r="E14" s="13">
        <f>D14*31</f>
        <v>2445.9</v>
      </c>
      <c r="F14" s="14">
        <f>E14*12*C14</f>
        <v>117403.20000000001</v>
      </c>
      <c r="G14" s="14">
        <f>F14*18%</f>
        <v>21132.576000000001</v>
      </c>
      <c r="H14" s="15">
        <f>(F14+G14)/10^7</f>
        <v>1.3853577600000002E-2</v>
      </c>
      <c r="J14" s="102"/>
      <c r="K14" s="105"/>
      <c r="L14" s="108"/>
      <c r="M14" s="74">
        <v>24855.31</v>
      </c>
      <c r="N14" s="75" t="s">
        <v>122</v>
      </c>
      <c r="O14" s="102"/>
    </row>
    <row r="15" spans="2:15">
      <c r="B15" s="12" t="s">
        <v>34</v>
      </c>
      <c r="C15" s="13"/>
      <c r="D15" s="13"/>
      <c r="E15" s="13"/>
      <c r="F15" s="14"/>
      <c r="G15" s="14"/>
      <c r="H15" s="15">
        <v>0.01</v>
      </c>
      <c r="J15" s="100">
        <v>33522414</v>
      </c>
      <c r="K15" s="103" t="s">
        <v>81</v>
      </c>
      <c r="L15" s="106" t="s">
        <v>126</v>
      </c>
      <c r="M15" s="76">
        <v>16713.349999999999</v>
      </c>
      <c r="N15" s="75" t="s">
        <v>121</v>
      </c>
      <c r="O15" s="100" t="s">
        <v>120</v>
      </c>
    </row>
    <row r="16" spans="2:15">
      <c r="B16" s="10" t="s">
        <v>33</v>
      </c>
      <c r="C16" s="11"/>
      <c r="D16" s="11"/>
      <c r="E16" s="11"/>
      <c r="F16" s="11"/>
      <c r="G16" s="11"/>
      <c r="H16" s="16">
        <f>H13+H14+H15+0.01</f>
        <v>0.17238935360000002</v>
      </c>
      <c r="J16" s="101"/>
      <c r="K16" s="104"/>
      <c r="L16" s="107"/>
      <c r="M16" s="76">
        <v>29024.720000000001</v>
      </c>
      <c r="N16" s="75" t="s">
        <v>123</v>
      </c>
      <c r="O16" s="101"/>
    </row>
    <row r="17" spans="2:15">
      <c r="J17" s="102"/>
      <c r="K17" s="105"/>
      <c r="L17" s="108"/>
      <c r="M17" s="76">
        <v>25584.48</v>
      </c>
      <c r="N17" s="75" t="s">
        <v>122</v>
      </c>
      <c r="O17" s="102"/>
    </row>
    <row r="18" spans="2:15">
      <c r="B18" s="3" t="s">
        <v>107</v>
      </c>
    </row>
    <row r="19" spans="2:15">
      <c r="B19" s="10" t="s">
        <v>24</v>
      </c>
      <c r="C19" s="11" t="s">
        <v>27</v>
      </c>
      <c r="D19" s="11" t="s">
        <v>28</v>
      </c>
      <c r="E19" s="11" t="s">
        <v>29</v>
      </c>
      <c r="F19" s="11" t="s">
        <v>30</v>
      </c>
      <c r="G19" s="11" t="s">
        <v>31</v>
      </c>
      <c r="H19" s="11" t="s">
        <v>32</v>
      </c>
    </row>
    <row r="20" spans="2:15">
      <c r="B20" s="10" t="s">
        <v>111</v>
      </c>
      <c r="C20" s="11"/>
      <c r="D20" s="11"/>
      <c r="E20" s="11"/>
      <c r="F20" s="11"/>
      <c r="G20" s="11"/>
      <c r="H20" s="11"/>
    </row>
    <row r="21" spans="2:15">
      <c r="B21" s="12" t="s">
        <v>25</v>
      </c>
      <c r="C21" s="13">
        <v>4</v>
      </c>
      <c r="D21" s="13">
        <v>789</v>
      </c>
      <c r="E21" s="13">
        <f>D21*31</f>
        <v>24459</v>
      </c>
      <c r="F21" s="77">
        <f>E21*C21*1.5</f>
        <v>146754</v>
      </c>
      <c r="G21" s="14">
        <f t="shared" ref="G21:G22" si="0">F21*18%</f>
        <v>26415.719999999998</v>
      </c>
      <c r="H21" s="15">
        <f t="shared" ref="H21:H22" si="1">(F21+G21)/10^7</f>
        <v>1.7316972E-2</v>
      </c>
    </row>
    <row r="22" spans="2:15">
      <c r="B22" s="12" t="s">
        <v>26</v>
      </c>
      <c r="C22" s="13">
        <v>4</v>
      </c>
      <c r="D22" s="13">
        <f>D21*10%</f>
        <v>78.900000000000006</v>
      </c>
      <c r="E22" s="13">
        <f>D22*31</f>
        <v>2445.9</v>
      </c>
      <c r="F22" s="78">
        <f>E22*C22*1.5</f>
        <v>14675.400000000001</v>
      </c>
      <c r="G22" s="14">
        <f t="shared" si="0"/>
        <v>2641.5720000000001</v>
      </c>
      <c r="H22" s="15">
        <f t="shared" si="1"/>
        <v>1.7316972000000002E-3</v>
      </c>
    </row>
    <row r="23" spans="2:15">
      <c r="B23" s="10" t="s">
        <v>110</v>
      </c>
      <c r="C23" s="11"/>
      <c r="D23" s="11"/>
      <c r="E23" s="11"/>
      <c r="F23" s="11"/>
      <c r="G23" s="11"/>
      <c r="H23" s="11"/>
    </row>
    <row r="24" spans="2:15">
      <c r="B24" s="12" t="s">
        <v>25</v>
      </c>
      <c r="C24" s="13">
        <v>4</v>
      </c>
      <c r="D24" s="14">
        <v>829</v>
      </c>
      <c r="E24" s="14">
        <f>D24*31</f>
        <v>25699</v>
      </c>
      <c r="F24" s="14">
        <f>E24*C24*10.5</f>
        <v>1079358</v>
      </c>
      <c r="G24" s="14">
        <f>F24*18%</f>
        <v>194284.44</v>
      </c>
      <c r="H24" s="15">
        <f>(F24+G24)/10^7</f>
        <v>0.12736424399999999</v>
      </c>
    </row>
    <row r="25" spans="2:15">
      <c r="B25" s="12" t="s">
        <v>26</v>
      </c>
      <c r="C25" s="13">
        <v>4</v>
      </c>
      <c r="D25" s="18">
        <f>D24*10%</f>
        <v>82.9</v>
      </c>
      <c r="E25" s="14">
        <f>D25*31</f>
        <v>2569.9</v>
      </c>
      <c r="F25" s="14">
        <f>E25*C25*10.5</f>
        <v>107935.8</v>
      </c>
      <c r="G25" s="14">
        <f>F25*18%</f>
        <v>19428.444</v>
      </c>
      <c r="H25" s="15">
        <f>(F25+G25)/10^7</f>
        <v>1.27364244E-2</v>
      </c>
    </row>
    <row r="26" spans="2:15">
      <c r="B26" s="10" t="s">
        <v>33</v>
      </c>
      <c r="C26" s="11"/>
      <c r="D26" s="11"/>
      <c r="E26" s="11"/>
      <c r="F26" s="11"/>
      <c r="G26" s="11"/>
      <c r="H26" s="39">
        <f>SUM(H21:H25)</f>
        <v>0.1591493376</v>
      </c>
      <c r="I26" s="4"/>
    </row>
    <row r="27" spans="2:15">
      <c r="I27" s="4"/>
    </row>
    <row r="28" spans="2:15">
      <c r="H28" s="66"/>
    </row>
    <row r="29" spans="2:15">
      <c r="B29" s="3" t="s">
        <v>75</v>
      </c>
      <c r="C29" s="33" t="s">
        <v>5</v>
      </c>
      <c r="F29" s="65"/>
      <c r="G29" s="44"/>
      <c r="H29" s="44"/>
      <c r="I29" s="45"/>
      <c r="J29" s="45"/>
      <c r="K29" s="45"/>
    </row>
    <row r="30" spans="2:15">
      <c r="F30" s="43"/>
      <c r="G30" s="44"/>
      <c r="H30" s="43"/>
      <c r="I30" s="45"/>
      <c r="J30" s="45"/>
      <c r="K30" s="45"/>
    </row>
    <row r="31" spans="2:15">
      <c r="B31" t="s">
        <v>37</v>
      </c>
      <c r="C31" s="21" t="s">
        <v>76</v>
      </c>
      <c r="F31" s="43"/>
      <c r="G31" s="43"/>
      <c r="H31" s="43"/>
      <c r="I31" s="43"/>
      <c r="J31" s="43"/>
      <c r="K31" s="40"/>
    </row>
    <row r="32" spans="2:15">
      <c r="B32" t="s">
        <v>38</v>
      </c>
      <c r="C32" s="22">
        <v>43928</v>
      </c>
      <c r="F32" s="45"/>
      <c r="G32" s="44"/>
      <c r="H32" s="46"/>
      <c r="I32" s="46"/>
      <c r="J32" s="47"/>
      <c r="K32" s="47"/>
    </row>
    <row r="33" spans="2:11">
      <c r="B33" t="s">
        <v>39</v>
      </c>
      <c r="C33" s="8" t="s">
        <v>5</v>
      </c>
      <c r="F33" s="45"/>
      <c r="G33" s="44"/>
      <c r="H33" s="46"/>
      <c r="I33" s="46"/>
      <c r="J33" s="47"/>
      <c r="K33" s="47"/>
    </row>
    <row r="34" spans="2:11">
      <c r="C34" s="9" t="s">
        <v>27</v>
      </c>
      <c r="D34" s="33" t="s">
        <v>80</v>
      </c>
      <c r="F34" s="45"/>
      <c r="G34" s="44"/>
      <c r="H34" s="46"/>
      <c r="I34" s="46"/>
      <c r="J34" s="47"/>
      <c r="K34" s="47"/>
    </row>
    <row r="35" spans="2:11">
      <c r="B35" t="s">
        <v>77</v>
      </c>
      <c r="C35" s="8">
        <v>15</v>
      </c>
      <c r="D35" s="32">
        <v>15565.55</v>
      </c>
      <c r="F35" s="44"/>
      <c r="G35" s="44"/>
      <c r="H35" s="46"/>
      <c r="I35" s="46"/>
      <c r="J35" s="48"/>
      <c r="K35" s="49"/>
    </row>
    <row r="36" spans="2:11">
      <c r="B36" t="s">
        <v>78</v>
      </c>
      <c r="C36" s="8">
        <v>3</v>
      </c>
      <c r="D36" s="32">
        <v>27800.93</v>
      </c>
      <c r="F36" s="44"/>
      <c r="G36" s="44"/>
      <c r="H36" s="46"/>
      <c r="I36" s="46"/>
      <c r="J36" s="45"/>
      <c r="K36" s="45"/>
    </row>
    <row r="37" spans="2:11">
      <c r="B37" t="s">
        <v>79</v>
      </c>
      <c r="C37" s="8">
        <v>3</v>
      </c>
      <c r="D37" s="32">
        <v>24381.56</v>
      </c>
    </row>
    <row r="39" spans="2:11">
      <c r="C39" s="32"/>
      <c r="D39" s="33"/>
      <c r="E39" s="27"/>
    </row>
    <row r="40" spans="2:11">
      <c r="B40" s="34" t="s">
        <v>45</v>
      </c>
      <c r="C40" s="34" t="s">
        <v>27</v>
      </c>
      <c r="D40" s="34" t="s">
        <v>108</v>
      </c>
      <c r="E40" s="34" t="s">
        <v>32</v>
      </c>
    </row>
    <row r="41" spans="2:11">
      <c r="B41" s="35" t="s">
        <v>77</v>
      </c>
      <c r="C41" s="36">
        <v>2</v>
      </c>
      <c r="D41" s="37">
        <f>D35</f>
        <v>15565.55</v>
      </c>
      <c r="E41" s="38">
        <f>C41*D41*12/10^7</f>
        <v>3.7357319999999992E-2</v>
      </c>
    </row>
    <row r="42" spans="2:11">
      <c r="B42" s="35" t="s">
        <v>78</v>
      </c>
      <c r="C42" s="36">
        <v>1</v>
      </c>
      <c r="D42" s="37">
        <f>D36</f>
        <v>27800.93</v>
      </c>
      <c r="E42" s="38">
        <f t="shared" ref="E42:E43" si="2">C42*D42*12/10^7</f>
        <v>3.3361116000000003E-2</v>
      </c>
    </row>
    <row r="43" spans="2:11">
      <c r="B43" s="35" t="s">
        <v>79</v>
      </c>
      <c r="C43" s="36">
        <v>1</v>
      </c>
      <c r="D43" s="37">
        <f>D37</f>
        <v>24381.56</v>
      </c>
      <c r="E43" s="38">
        <f t="shared" si="2"/>
        <v>2.9257872000000004E-2</v>
      </c>
    </row>
    <row r="44" spans="2:11">
      <c r="B44" s="34" t="s">
        <v>33</v>
      </c>
      <c r="C44" s="34">
        <f>SUM(C41:C43)</f>
        <v>4</v>
      </c>
      <c r="D44" s="39"/>
      <c r="E44" s="39">
        <f>SUM(E41:E43)</f>
        <v>9.9976308E-2</v>
      </c>
    </row>
    <row r="46" spans="2:11">
      <c r="B46" s="3" t="s">
        <v>81</v>
      </c>
      <c r="C46" s="33" t="s">
        <v>6</v>
      </c>
    </row>
    <row r="47" spans="2:11">
      <c r="B47" t="s">
        <v>37</v>
      </c>
      <c r="C47" s="21" t="s">
        <v>82</v>
      </c>
      <c r="K47" s="31"/>
    </row>
    <row r="48" spans="2:11">
      <c r="B48" t="s">
        <v>38</v>
      </c>
      <c r="C48" s="22">
        <v>44356</v>
      </c>
      <c r="K48" s="4"/>
    </row>
    <row r="49" spans="2:11">
      <c r="B49" t="s">
        <v>39</v>
      </c>
      <c r="C49" s="8" t="s">
        <v>83</v>
      </c>
      <c r="D49" s="32"/>
      <c r="E49" s="32"/>
      <c r="K49" s="4"/>
    </row>
    <row r="50" spans="2:11">
      <c r="C50" s="9" t="s">
        <v>27</v>
      </c>
      <c r="D50" s="33" t="s">
        <v>80</v>
      </c>
      <c r="E50" s="32"/>
      <c r="K50" s="4"/>
    </row>
    <row r="51" spans="2:11">
      <c r="B51" t="s">
        <v>77</v>
      </c>
      <c r="C51" s="8">
        <v>15</v>
      </c>
      <c r="D51" s="32">
        <v>15984.18</v>
      </c>
      <c r="E51" s="32"/>
      <c r="K51" s="5"/>
    </row>
    <row r="52" spans="2:11">
      <c r="B52" t="s">
        <v>78</v>
      </c>
      <c r="C52" s="8">
        <v>3</v>
      </c>
      <c r="D52" s="32">
        <v>28295.55</v>
      </c>
      <c r="E52" s="32"/>
    </row>
    <row r="53" spans="2:11">
      <c r="B53" t="s">
        <v>79</v>
      </c>
      <c r="C53" s="8">
        <v>3</v>
      </c>
      <c r="D53" s="32">
        <v>24855.31</v>
      </c>
      <c r="E53" s="32"/>
    </row>
    <row r="54" spans="2:11">
      <c r="D54" s="32"/>
      <c r="E54" s="32"/>
    </row>
    <row r="55" spans="2:11">
      <c r="C55" s="32"/>
      <c r="D55" s="33"/>
      <c r="E55" s="27"/>
      <c r="F55" s="40"/>
      <c r="G55" s="40"/>
      <c r="H55" s="41"/>
      <c r="I55" s="41"/>
    </row>
    <row r="56" spans="2:11">
      <c r="B56" s="34" t="s">
        <v>45</v>
      </c>
      <c r="C56" s="34" t="s">
        <v>27</v>
      </c>
      <c r="D56" s="34" t="s">
        <v>108</v>
      </c>
      <c r="E56" s="34" t="s">
        <v>32</v>
      </c>
      <c r="F56" s="40"/>
      <c r="G56" s="40"/>
      <c r="H56" s="41"/>
      <c r="I56" s="41"/>
    </row>
    <row r="57" spans="2:11">
      <c r="B57" s="35" t="s">
        <v>77</v>
      </c>
      <c r="C57" s="36">
        <v>2</v>
      </c>
      <c r="D57" s="37">
        <f>D51</f>
        <v>15984.18</v>
      </c>
      <c r="E57" s="38">
        <f>C57*D57*12/10^7</f>
        <v>3.8362031999999997E-2</v>
      </c>
      <c r="F57" s="40"/>
      <c r="G57" s="40"/>
      <c r="H57" s="41"/>
      <c r="I57" s="41"/>
    </row>
    <row r="58" spans="2:11">
      <c r="B58" s="35" t="s">
        <v>78</v>
      </c>
      <c r="C58" s="36">
        <v>1</v>
      </c>
      <c r="D58" s="37">
        <f>D52</f>
        <v>28295.55</v>
      </c>
      <c r="E58" s="38">
        <f t="shared" ref="E58:E59" si="3">C58*D58*12/10^7</f>
        <v>3.3954659999999998E-2</v>
      </c>
      <c r="F58" s="40"/>
      <c r="G58" s="40"/>
      <c r="H58" s="41"/>
      <c r="I58" s="41"/>
    </row>
    <row r="59" spans="2:11">
      <c r="B59" s="35" t="s">
        <v>79</v>
      </c>
      <c r="C59" s="36">
        <v>1</v>
      </c>
      <c r="D59" s="37">
        <f>D53</f>
        <v>24855.31</v>
      </c>
      <c r="E59" s="38">
        <f t="shared" si="3"/>
        <v>2.9826372000000004E-2</v>
      </c>
      <c r="F59" s="40"/>
      <c r="G59" s="40"/>
      <c r="H59" s="41"/>
      <c r="I59" s="41"/>
    </row>
    <row r="60" spans="2:11">
      <c r="B60" s="34" t="s">
        <v>33</v>
      </c>
      <c r="C60" s="34">
        <f>SUM(C57:C59)</f>
        <v>4</v>
      </c>
      <c r="D60" s="39"/>
      <c r="E60" s="39">
        <f>SUM(E57:E59)</f>
        <v>0.10214306399999999</v>
      </c>
      <c r="F60" s="32"/>
      <c r="G60" s="32"/>
      <c r="H60" s="32"/>
      <c r="I60" s="27"/>
    </row>
    <row r="61" spans="2:11">
      <c r="B61" s="40"/>
      <c r="C61" s="40"/>
      <c r="D61" s="41"/>
      <c r="E61" s="41"/>
      <c r="F61" s="32"/>
      <c r="G61" s="32"/>
      <c r="H61" s="32"/>
      <c r="I61" s="27"/>
    </row>
    <row r="62" spans="2:11">
      <c r="B62" s="3" t="s">
        <v>81</v>
      </c>
      <c r="C62" s="9" t="s">
        <v>101</v>
      </c>
    </row>
    <row r="63" spans="2:11">
      <c r="B63" t="s">
        <v>37</v>
      </c>
      <c r="C63" s="21" t="s">
        <v>102</v>
      </c>
    </row>
    <row r="64" spans="2:11">
      <c r="B64" t="s">
        <v>38</v>
      </c>
      <c r="C64" s="22">
        <v>44769</v>
      </c>
    </row>
    <row r="65" spans="2:11">
      <c r="B65" t="s">
        <v>39</v>
      </c>
      <c r="C65" s="8" t="s">
        <v>101</v>
      </c>
    </row>
    <row r="66" spans="2:11">
      <c r="C66" s="9" t="s">
        <v>27</v>
      </c>
      <c r="D66" s="9" t="s">
        <v>80</v>
      </c>
      <c r="K66" s="31"/>
    </row>
    <row r="67" spans="2:11">
      <c r="B67" t="s">
        <v>77</v>
      </c>
      <c r="C67" s="8">
        <v>15</v>
      </c>
      <c r="D67" s="8">
        <v>16713.349999999999</v>
      </c>
      <c r="K67" s="4"/>
    </row>
    <row r="68" spans="2:11">
      <c r="B68" t="s">
        <v>78</v>
      </c>
      <c r="C68" s="8">
        <v>3</v>
      </c>
      <c r="D68" s="8">
        <v>29024.720000000001</v>
      </c>
      <c r="K68" s="4"/>
    </row>
    <row r="69" spans="2:11">
      <c r="B69" t="s">
        <v>79</v>
      </c>
      <c r="C69" s="8">
        <v>3</v>
      </c>
      <c r="D69" s="8">
        <v>25584.48</v>
      </c>
      <c r="K69" s="4"/>
    </row>
    <row r="70" spans="2:11">
      <c r="K70" s="5"/>
    </row>
    <row r="71" spans="2:11">
      <c r="B71" s="33"/>
      <c r="C71" s="32"/>
      <c r="D71" s="33"/>
      <c r="E71" s="27"/>
      <c r="F71" s="27"/>
    </row>
    <row r="72" spans="2:11">
      <c r="B72" s="34" t="s">
        <v>45</v>
      </c>
      <c r="C72" s="34" t="s">
        <v>27</v>
      </c>
      <c r="D72" s="34" t="s">
        <v>108</v>
      </c>
      <c r="E72" s="34" t="s">
        <v>32</v>
      </c>
      <c r="F72" s="34" t="s">
        <v>103</v>
      </c>
    </row>
    <row r="73" spans="2:11">
      <c r="B73" s="35" t="s">
        <v>77</v>
      </c>
      <c r="C73" s="36">
        <v>2</v>
      </c>
      <c r="D73" s="37">
        <f>D67</f>
        <v>16713.349999999999</v>
      </c>
      <c r="E73" s="38">
        <f>C73*D73*12/10^7</f>
        <v>4.0112039999999995E-2</v>
      </c>
      <c r="F73" s="42"/>
    </row>
    <row r="74" spans="2:11">
      <c r="B74" s="35" t="s">
        <v>78</v>
      </c>
      <c r="C74" s="36">
        <v>1</v>
      </c>
      <c r="D74" s="37">
        <f>D68</f>
        <v>29024.720000000001</v>
      </c>
      <c r="E74" s="38">
        <f t="shared" ref="E74:E75" si="4">C74*D74*12/10^7</f>
        <v>3.4829664000000003E-2</v>
      </c>
      <c r="F74" s="42"/>
    </row>
    <row r="75" spans="2:11">
      <c r="B75" s="35" t="s">
        <v>79</v>
      </c>
      <c r="C75" s="36">
        <v>1</v>
      </c>
      <c r="D75" s="37">
        <f>D69</f>
        <v>25584.48</v>
      </c>
      <c r="E75" s="38">
        <f t="shared" si="4"/>
        <v>3.0701376000000002E-2</v>
      </c>
      <c r="F75" s="42"/>
    </row>
    <row r="76" spans="2:11">
      <c r="B76" s="36"/>
      <c r="C76" s="36">
        <f>SUM(C73:C75)</f>
        <v>4</v>
      </c>
      <c r="D76" s="39"/>
      <c r="E76" s="39">
        <f>SUM(E73:E75)</f>
        <v>0.10564308</v>
      </c>
      <c r="F76" s="39">
        <f>E76/2</f>
        <v>5.282154E-2</v>
      </c>
    </row>
  </sheetData>
  <mergeCells count="12">
    <mergeCell ref="J15:J17"/>
    <mergeCell ref="K15:K17"/>
    <mergeCell ref="L15:L17"/>
    <mergeCell ref="O15:O17"/>
    <mergeCell ref="K9:K11"/>
    <mergeCell ref="L9:L11"/>
    <mergeCell ref="J9:J11"/>
    <mergeCell ref="O9:O11"/>
    <mergeCell ref="K12:K14"/>
    <mergeCell ref="L12:L14"/>
    <mergeCell ref="J12:J14"/>
    <mergeCell ref="O12:O14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9"/>
  <sheetViews>
    <sheetView topLeftCell="A15" workbookViewId="0">
      <selection activeCell="E6" sqref="E6"/>
    </sheetView>
  </sheetViews>
  <sheetFormatPr defaultRowHeight="15"/>
  <cols>
    <col min="1" max="1" width="22.85546875" style="27" customWidth="1"/>
    <col min="2" max="2" width="22.42578125" style="27" bestFit="1" customWidth="1"/>
    <col min="3" max="3" width="16.28515625" style="27" bestFit="1" customWidth="1"/>
    <col min="4" max="4" width="14.7109375" style="27" customWidth="1"/>
    <col min="5" max="5" width="14.28515625" style="27" customWidth="1"/>
    <col min="6" max="6" width="20.7109375" style="27" customWidth="1"/>
    <col min="7" max="7" width="14.140625" style="27" customWidth="1"/>
    <col min="8" max="8" width="17.5703125" style="27" customWidth="1"/>
    <col min="9" max="9" width="13" style="27" customWidth="1"/>
    <col min="10" max="10" width="19" style="27" customWidth="1"/>
    <col min="11" max="16384" width="9.140625" style="27"/>
  </cols>
  <sheetData>
    <row r="2" spans="1:5">
      <c r="A2" s="59" t="s">
        <v>61</v>
      </c>
      <c r="C2" s="59" t="s">
        <v>62</v>
      </c>
    </row>
    <row r="3" spans="1:5">
      <c r="A3" s="30"/>
      <c r="B3" s="34" t="s">
        <v>45</v>
      </c>
      <c r="C3" s="34" t="s">
        <v>4</v>
      </c>
      <c r="D3" s="34" t="s">
        <v>5</v>
      </c>
      <c r="E3" s="34" t="s">
        <v>6</v>
      </c>
    </row>
    <row r="4" spans="1:5">
      <c r="A4" s="35" t="s">
        <v>47</v>
      </c>
      <c r="B4" s="36">
        <v>1</v>
      </c>
      <c r="C4" s="42">
        <f>B4*C15*12/10^5</f>
        <v>3.2465999999999999</v>
      </c>
      <c r="D4" s="42">
        <f>B4*C26*12/10^5</f>
        <v>3.2465999999999999</v>
      </c>
      <c r="E4" s="42">
        <f>B4*C37*12/10^5</f>
        <v>3.5958000000000001</v>
      </c>
    </row>
    <row r="5" spans="1:5" s="59" customFormat="1">
      <c r="A5" s="35" t="s">
        <v>46</v>
      </c>
      <c r="B5" s="36">
        <v>3</v>
      </c>
      <c r="C5" s="42">
        <f>B5*C16*12/10^5</f>
        <v>9.0198</v>
      </c>
      <c r="D5" s="42">
        <f>B5*C27*12/10^5</f>
        <v>9.0198</v>
      </c>
      <c r="E5" s="42">
        <f>B5*C38*12/10^5</f>
        <v>10.581480000000001</v>
      </c>
    </row>
    <row r="6" spans="1:5">
      <c r="A6" s="30" t="s">
        <v>33</v>
      </c>
      <c r="B6" s="34">
        <f>SUM(B4:B5)</f>
        <v>4</v>
      </c>
      <c r="C6" s="58">
        <f>SUM(C4:C5)</f>
        <v>12.266400000000001</v>
      </c>
      <c r="D6" s="58">
        <f>SUM(D4:D5)</f>
        <v>12.266400000000001</v>
      </c>
      <c r="E6" s="58">
        <f>SUM(E4:E5)</f>
        <v>14.177280000000001</v>
      </c>
    </row>
    <row r="7" spans="1:5">
      <c r="A7" s="61"/>
      <c r="B7" s="61"/>
      <c r="C7" s="62"/>
      <c r="D7" s="62"/>
      <c r="E7" s="62"/>
    </row>
    <row r="8" spans="1:5">
      <c r="A8" s="61"/>
      <c r="B8" s="61"/>
      <c r="C8" s="62"/>
      <c r="D8" s="62"/>
      <c r="E8" s="62"/>
    </row>
    <row r="9" spans="1:5">
      <c r="A9" s="59" t="s">
        <v>41</v>
      </c>
      <c r="B9" s="27" t="s">
        <v>42</v>
      </c>
    </row>
    <row r="10" spans="1:5">
      <c r="A10" s="59" t="s">
        <v>37</v>
      </c>
      <c r="B10" s="27" t="s">
        <v>40</v>
      </c>
    </row>
    <row r="11" spans="1:5">
      <c r="A11" s="59" t="s">
        <v>38</v>
      </c>
      <c r="B11" s="60">
        <v>44854</v>
      </c>
    </row>
    <row r="12" spans="1:5">
      <c r="A12" s="59" t="s">
        <v>39</v>
      </c>
      <c r="B12" s="27" t="s">
        <v>4</v>
      </c>
      <c r="D12" s="59" t="s">
        <v>54</v>
      </c>
    </row>
    <row r="13" spans="1:5">
      <c r="B13" s="33" t="s">
        <v>45</v>
      </c>
      <c r="C13" s="59" t="s">
        <v>50</v>
      </c>
    </row>
    <row r="14" spans="1:5">
      <c r="A14" s="27" t="s">
        <v>48</v>
      </c>
      <c r="B14" s="63">
        <f>26.855/12</f>
        <v>2.2379166666666666</v>
      </c>
      <c r="C14" s="32">
        <v>27684</v>
      </c>
    </row>
    <row r="15" spans="1:5">
      <c r="A15" s="27" t="s">
        <v>47</v>
      </c>
      <c r="B15" s="63">
        <f>56.328/12</f>
        <v>4.694</v>
      </c>
      <c r="C15" s="32">
        <v>27055</v>
      </c>
    </row>
    <row r="16" spans="1:5">
      <c r="A16" s="27" t="s">
        <v>46</v>
      </c>
      <c r="B16" s="63">
        <f>257.273/12</f>
        <v>21.43941666666667</v>
      </c>
      <c r="C16" s="32">
        <v>25055</v>
      </c>
    </row>
    <row r="17" spans="1:12">
      <c r="A17" s="59" t="s">
        <v>33</v>
      </c>
      <c r="B17" s="64">
        <f>SUM(B14:B16)</f>
        <v>28.371333333333336</v>
      </c>
      <c r="C17" s="32"/>
    </row>
    <row r="18" spans="1:12">
      <c r="A18" s="59"/>
      <c r="B18" s="59"/>
    </row>
    <row r="20" spans="1:12">
      <c r="A20" s="59" t="s">
        <v>41</v>
      </c>
      <c r="B20" s="27" t="s">
        <v>43</v>
      </c>
      <c r="F20" s="27" t="s">
        <v>43</v>
      </c>
      <c r="J20" s="27" t="s">
        <v>43</v>
      </c>
    </row>
    <row r="21" spans="1:12">
      <c r="A21" s="59" t="s">
        <v>37</v>
      </c>
      <c r="B21" s="27" t="s">
        <v>55</v>
      </c>
      <c r="F21" s="27" t="s">
        <v>44</v>
      </c>
      <c r="J21" s="27" t="s">
        <v>58</v>
      </c>
    </row>
    <row r="22" spans="1:12">
      <c r="A22" s="59" t="s">
        <v>38</v>
      </c>
      <c r="B22" s="60">
        <v>44026</v>
      </c>
      <c r="F22" s="60">
        <v>44096</v>
      </c>
      <c r="J22" s="60">
        <v>44159</v>
      </c>
    </row>
    <row r="23" spans="1:12">
      <c r="A23" s="59" t="s">
        <v>39</v>
      </c>
      <c r="B23" s="27" t="s">
        <v>56</v>
      </c>
      <c r="D23" s="59" t="s">
        <v>57</v>
      </c>
      <c r="F23" s="27" t="s">
        <v>49</v>
      </c>
      <c r="H23" s="59" t="s">
        <v>53</v>
      </c>
      <c r="J23" s="27" t="s">
        <v>59</v>
      </c>
      <c r="L23" s="59" t="s">
        <v>60</v>
      </c>
    </row>
    <row r="24" spans="1:12">
      <c r="B24" s="59" t="s">
        <v>45</v>
      </c>
      <c r="C24" s="59" t="s">
        <v>50</v>
      </c>
      <c r="F24" s="59" t="s">
        <v>45</v>
      </c>
      <c r="G24" s="59" t="s">
        <v>50</v>
      </c>
      <c r="J24" s="59" t="s">
        <v>45</v>
      </c>
      <c r="K24" s="59" t="s">
        <v>50</v>
      </c>
    </row>
    <row r="25" spans="1:12">
      <c r="A25" s="27" t="s">
        <v>48</v>
      </c>
      <c r="B25" s="32">
        <v>6</v>
      </c>
      <c r="C25" s="32">
        <v>27684</v>
      </c>
      <c r="D25" s="32"/>
      <c r="E25" s="32"/>
      <c r="F25" s="32">
        <v>3</v>
      </c>
      <c r="G25" s="32">
        <v>27684</v>
      </c>
      <c r="H25" s="32"/>
      <c r="I25" s="32"/>
      <c r="J25" s="32">
        <f>18/6</f>
        <v>3</v>
      </c>
      <c r="K25" s="32">
        <v>27684</v>
      </c>
    </row>
    <row r="26" spans="1:12">
      <c r="A26" s="27" t="s">
        <v>47</v>
      </c>
      <c r="B26" s="32">
        <v>22</v>
      </c>
      <c r="C26" s="32">
        <v>27055</v>
      </c>
      <c r="D26" s="32"/>
      <c r="E26" s="32"/>
      <c r="F26" s="32">
        <v>9</v>
      </c>
      <c r="G26" s="32">
        <v>27055</v>
      </c>
      <c r="H26" s="32"/>
      <c r="I26" s="32"/>
      <c r="J26" s="32">
        <f>54/6</f>
        <v>9</v>
      </c>
      <c r="K26" s="32">
        <v>27055</v>
      </c>
    </row>
    <row r="27" spans="1:12">
      <c r="A27" s="27" t="s">
        <v>46</v>
      </c>
      <c r="B27" s="32">
        <v>22</v>
      </c>
      <c r="C27" s="32">
        <v>25055</v>
      </c>
      <c r="D27" s="32"/>
      <c r="E27" s="32"/>
      <c r="F27" s="32">
        <v>9</v>
      </c>
      <c r="G27" s="32">
        <v>25055</v>
      </c>
      <c r="H27" s="32"/>
      <c r="I27" s="32"/>
      <c r="J27" s="32">
        <f>54/6</f>
        <v>9</v>
      </c>
      <c r="K27" s="32">
        <v>25055</v>
      </c>
    </row>
    <row r="28" spans="1:12">
      <c r="A28" s="59" t="s">
        <v>33</v>
      </c>
      <c r="B28" s="33">
        <f>SUM(B25:B27)</f>
        <v>50</v>
      </c>
      <c r="C28" s="32"/>
      <c r="D28" s="32"/>
      <c r="E28" s="32"/>
      <c r="F28" s="33">
        <f>SUM(F25:F27)</f>
        <v>21</v>
      </c>
      <c r="G28" s="32"/>
      <c r="H28" s="32"/>
      <c r="I28" s="32"/>
      <c r="J28" s="33">
        <f>SUM(J25:J27)</f>
        <v>21</v>
      </c>
      <c r="K28" s="32"/>
    </row>
    <row r="29" spans="1:12"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1" spans="1:12">
      <c r="A31" s="59" t="s">
        <v>41</v>
      </c>
      <c r="B31" s="27" t="s">
        <v>51</v>
      </c>
    </row>
    <row r="32" spans="1:12">
      <c r="A32" s="59" t="s">
        <v>37</v>
      </c>
      <c r="B32" s="27" t="s">
        <v>52</v>
      </c>
    </row>
    <row r="33" spans="1:4">
      <c r="A33" s="59" t="s">
        <v>38</v>
      </c>
      <c r="B33" s="60">
        <v>44380</v>
      </c>
    </row>
    <row r="34" spans="1:4">
      <c r="A34" s="59" t="s">
        <v>39</v>
      </c>
      <c r="B34" s="27" t="s">
        <v>6</v>
      </c>
      <c r="D34" s="59" t="s">
        <v>63</v>
      </c>
    </row>
    <row r="35" spans="1:4">
      <c r="B35" s="59" t="s">
        <v>45</v>
      </c>
      <c r="C35" s="59" t="s">
        <v>50</v>
      </c>
    </row>
    <row r="36" spans="1:4">
      <c r="A36" s="27" t="s">
        <v>48</v>
      </c>
      <c r="B36" s="32">
        <v>3</v>
      </c>
      <c r="C36" s="32">
        <v>31420</v>
      </c>
    </row>
    <row r="37" spans="1:4">
      <c r="A37" s="27" t="s">
        <v>47</v>
      </c>
      <c r="B37" s="32">
        <v>4</v>
      </c>
      <c r="C37" s="32">
        <v>29965</v>
      </c>
    </row>
    <row r="38" spans="1:4">
      <c r="A38" s="27" t="s">
        <v>46</v>
      </c>
      <c r="B38" s="32">
        <v>14</v>
      </c>
      <c r="C38" s="32">
        <v>29393</v>
      </c>
    </row>
    <row r="39" spans="1:4">
      <c r="A39" s="59" t="s">
        <v>33</v>
      </c>
      <c r="B39" s="33">
        <f>SUM(B36:B38)</f>
        <v>21</v>
      </c>
      <c r="C39" s="32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pane ySplit="3" topLeftCell="A4" activePane="bottomLeft" state="frozen"/>
      <selection pane="bottomLeft" activeCell="I12" sqref="I12"/>
    </sheetView>
  </sheetViews>
  <sheetFormatPr defaultRowHeight="15"/>
  <cols>
    <col min="2" max="2" width="50.140625" customWidth="1"/>
    <col min="7" max="7" width="15.140625" customWidth="1"/>
    <col min="11" max="11" width="13" customWidth="1"/>
  </cols>
  <sheetData>
    <row r="1" spans="1:12">
      <c r="B1" s="3" t="s">
        <v>92</v>
      </c>
    </row>
    <row r="3" spans="1:12" s="3" customFormat="1">
      <c r="B3" s="3" t="s">
        <v>7</v>
      </c>
      <c r="C3" s="3" t="s">
        <v>4</v>
      </c>
      <c r="D3" s="3" t="s">
        <v>5</v>
      </c>
      <c r="E3" s="3" t="s">
        <v>6</v>
      </c>
    </row>
    <row r="4" spans="1:12">
      <c r="A4">
        <v>3</v>
      </c>
      <c r="B4" s="3" t="s">
        <v>8</v>
      </c>
      <c r="C4" s="1"/>
    </row>
    <row r="5" spans="1:12">
      <c r="B5" s="2" t="s">
        <v>1</v>
      </c>
      <c r="C5" s="50"/>
      <c r="D5" s="50"/>
      <c r="E5" s="51"/>
    </row>
    <row r="6" spans="1:12">
      <c r="B6" s="6" t="s">
        <v>23</v>
      </c>
      <c r="C6" s="50"/>
      <c r="D6" s="50"/>
      <c r="E6" s="51"/>
    </row>
    <row r="7" spans="1:12">
      <c r="B7" s="2" t="s">
        <v>0</v>
      </c>
      <c r="C7" s="52">
        <f>'[1]Sch PL'!$D$135</f>
        <v>97.3184057</v>
      </c>
      <c r="D7" s="52">
        <f>'[2]Sch PL'!$D$136</f>
        <v>18.34</v>
      </c>
      <c r="E7" s="52">
        <f>'[3]Sch PL'!$D$136</f>
        <v>15.76</v>
      </c>
    </row>
    <row r="8" spans="1:12">
      <c r="B8" s="53" t="s">
        <v>3</v>
      </c>
      <c r="C8" s="52">
        <f>'[1]Sch PL'!$D$140</f>
        <v>417.2282237</v>
      </c>
      <c r="D8" s="52">
        <f>'[2]Sch PL'!$D$141</f>
        <v>154.62</v>
      </c>
      <c r="E8" s="52">
        <f>'[3]Sch PL'!$D$141</f>
        <v>103.33</v>
      </c>
    </row>
    <row r="9" spans="1:12">
      <c r="B9" s="53" t="s">
        <v>10</v>
      </c>
      <c r="C9" s="54">
        <f>'[1]Sub Schedules (IND AS)'!$C$1352</f>
        <v>660</v>
      </c>
      <c r="D9" s="98"/>
      <c r="E9" s="52">
        <f>'[3]Sub Schedules (IND AS)'!$C$1358</f>
        <v>524.34</v>
      </c>
    </row>
    <row r="10" spans="1:12">
      <c r="B10" s="2" t="s">
        <v>2</v>
      </c>
      <c r="C10" s="54"/>
      <c r="D10" s="54"/>
      <c r="E10" s="54"/>
      <c r="H10" s="17"/>
    </row>
    <row r="11" spans="1:12">
      <c r="B11" s="55" t="s">
        <v>11</v>
      </c>
      <c r="C11" s="56">
        <f>'[1]Sub Schedules (IND AS)'!C1363</f>
        <v>0.80405419999999994</v>
      </c>
      <c r="D11" s="54">
        <f>'[2]Sub Schedules (IND AS)'!C1365</f>
        <v>0.02</v>
      </c>
      <c r="E11" s="54"/>
    </row>
    <row r="12" spans="1:12">
      <c r="B12" s="55" t="s">
        <v>12</v>
      </c>
      <c r="C12" s="56">
        <f>'[1]Sub Schedules (IND AS)'!C1364</f>
        <v>6.9449999999999998E-2</v>
      </c>
      <c r="D12" s="54"/>
      <c r="E12" s="54"/>
    </row>
    <row r="13" spans="1:12">
      <c r="B13" s="55" t="s">
        <v>13</v>
      </c>
      <c r="C13" s="56">
        <f>'[1]Sub Schedules (IND AS)'!C1365</f>
        <v>0.1</v>
      </c>
      <c r="D13" s="54">
        <f>'[2]Sub Schedules (IND AS)'!C1367</f>
        <v>0.1</v>
      </c>
      <c r="E13" s="54">
        <f>'[3]Sub Schedules (IND AS)'!$C$1371</f>
        <v>0.14000000000000001</v>
      </c>
    </row>
    <row r="14" spans="1:12">
      <c r="B14" s="55" t="s">
        <v>14</v>
      </c>
      <c r="C14" s="56">
        <f>'[1]Sub Schedules (IND AS)'!C1366</f>
        <v>0.15601999999999999</v>
      </c>
      <c r="D14" s="54"/>
      <c r="E14" s="54"/>
    </row>
    <row r="15" spans="1:12">
      <c r="B15" s="55" t="s">
        <v>15</v>
      </c>
      <c r="C15" s="56">
        <f>'[1]Sub Schedules (IND AS)'!C1367</f>
        <v>7.0000000000000007E-2</v>
      </c>
      <c r="D15" s="54"/>
      <c r="E15" s="54"/>
    </row>
    <row r="16" spans="1:12">
      <c r="B16" s="55" t="s">
        <v>16</v>
      </c>
      <c r="C16" s="52">
        <f>'[1]Sub Schedules (IND AS)'!$C$1370</f>
        <v>122.53192130000001</v>
      </c>
      <c r="D16" s="52">
        <f>'[2]Sub Schedules (IND AS)'!$C$1372</f>
        <v>82.47</v>
      </c>
      <c r="E16" s="52">
        <f>'[3]Sub Schedules (IND AS)'!$C$1376</f>
        <v>81.09</v>
      </c>
      <c r="L16" s="7"/>
    </row>
    <row r="17" spans="2:5">
      <c r="B17" s="55" t="s">
        <v>17</v>
      </c>
      <c r="C17" s="56">
        <f>'[1]Sub Schedules (IND AS)'!$C$1372</f>
        <v>0.28192</v>
      </c>
      <c r="D17" s="54"/>
      <c r="E17" s="54"/>
    </row>
    <row r="18" spans="2:5">
      <c r="B18" s="55" t="s">
        <v>18</v>
      </c>
      <c r="C18" s="56">
        <f>'[1]Sub Schedules (IND AS)'!$C$1375</f>
        <v>9.4182900000000014E-2</v>
      </c>
      <c r="D18" s="54">
        <f>'[2]Sub Schedules (IND AS)'!$C$1377</f>
        <v>0.35</v>
      </c>
      <c r="E18" s="54">
        <f>'[3]Sub Schedules (IND AS)'!$C$1381</f>
        <v>1.32</v>
      </c>
    </row>
    <row r="19" spans="2:5">
      <c r="B19" s="55" t="s">
        <v>19</v>
      </c>
      <c r="C19" s="56">
        <f>'[1]Sub Schedules (IND AS)'!$C$1379</f>
        <v>0.14491000000000001</v>
      </c>
      <c r="D19" s="54"/>
      <c r="E19" s="54"/>
    </row>
    <row r="20" spans="2:5">
      <c r="B20" s="55" t="s">
        <v>20</v>
      </c>
      <c r="C20" s="56">
        <f>'[1]Sub Schedules (IND AS)'!$C$1393</f>
        <v>5.0893899999999999</v>
      </c>
      <c r="D20" s="54"/>
      <c r="E20" s="54"/>
    </row>
    <row r="21" spans="2:5">
      <c r="B21" s="54"/>
      <c r="C21" s="57">
        <f>SUM(C7:C20)</f>
        <v>1303.8884777999999</v>
      </c>
      <c r="D21" s="57">
        <f t="shared" ref="D21:E21" si="0">SUM(D7:D20)</f>
        <v>255.9</v>
      </c>
      <c r="E21" s="57">
        <f t="shared" si="0"/>
        <v>725.98000000000013</v>
      </c>
    </row>
    <row r="24" spans="2:5">
      <c r="B24" s="3"/>
      <c r="C24" s="5"/>
      <c r="D24" s="5"/>
      <c r="E24" s="5"/>
    </row>
    <row r="25" spans="2:5">
      <c r="B25" s="3"/>
      <c r="C25" s="5"/>
      <c r="D25" s="5"/>
      <c r="E25" s="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7"/>
  <sheetViews>
    <sheetView showGridLines="0" topLeftCell="A2" workbookViewId="0">
      <selection activeCell="F18" sqref="F18"/>
    </sheetView>
  </sheetViews>
  <sheetFormatPr defaultRowHeight="14.25"/>
  <cols>
    <col min="1" max="1" width="5.5703125" style="80" customWidth="1"/>
    <col min="2" max="2" width="47.5703125" style="80" customWidth="1"/>
    <col min="3" max="5" width="12.42578125" style="80" customWidth="1"/>
    <col min="6" max="6" width="40.85546875" style="80" customWidth="1"/>
    <col min="7" max="16384" width="9.140625" style="80"/>
  </cols>
  <sheetData>
    <row r="2" spans="2:6">
      <c r="B2" s="79" t="s">
        <v>146</v>
      </c>
    </row>
    <row r="4" spans="2:6">
      <c r="B4" s="86" t="s">
        <v>2</v>
      </c>
      <c r="C4" s="87" t="s">
        <v>139</v>
      </c>
      <c r="D4" s="87" t="s">
        <v>140</v>
      </c>
      <c r="E4" s="87" t="s">
        <v>141</v>
      </c>
      <c r="F4" s="88" t="s">
        <v>89</v>
      </c>
    </row>
    <row r="5" spans="2:6">
      <c r="B5" s="85" t="s">
        <v>130</v>
      </c>
      <c r="C5" s="82">
        <v>2.0579200000000002</v>
      </c>
      <c r="D5" s="82">
        <v>0</v>
      </c>
      <c r="E5" s="82">
        <v>0</v>
      </c>
      <c r="F5" s="80" t="s">
        <v>144</v>
      </c>
    </row>
    <row r="6" spans="2:6">
      <c r="B6" s="85" t="s">
        <v>131</v>
      </c>
      <c r="C6" s="82">
        <v>0.31152000000000002</v>
      </c>
      <c r="D6" s="82">
        <v>0.21</v>
      </c>
      <c r="E6" s="82">
        <v>0.16</v>
      </c>
      <c r="F6" s="80" t="s">
        <v>144</v>
      </c>
    </row>
    <row r="7" spans="2:6">
      <c r="B7" s="85" t="s">
        <v>132</v>
      </c>
      <c r="C7" s="82">
        <v>0.15533</v>
      </c>
      <c r="D7" s="82">
        <v>0</v>
      </c>
      <c r="E7" s="82">
        <v>0</v>
      </c>
      <c r="F7" s="80" t="s">
        <v>144</v>
      </c>
    </row>
    <row r="8" spans="2:6">
      <c r="B8" s="85" t="s">
        <v>133</v>
      </c>
      <c r="C8" s="82">
        <v>0.92700000000000005</v>
      </c>
      <c r="D8" s="82">
        <v>0</v>
      </c>
      <c r="E8" s="82">
        <v>0</v>
      </c>
      <c r="F8" s="80" t="s">
        <v>144</v>
      </c>
    </row>
    <row r="9" spans="2:6">
      <c r="B9" s="85" t="s">
        <v>11</v>
      </c>
      <c r="C9" s="82">
        <v>0.80405419999999994</v>
      </c>
      <c r="D9" s="82">
        <v>0.02</v>
      </c>
      <c r="E9" s="82">
        <v>0</v>
      </c>
      <c r="F9" s="80" t="s">
        <v>143</v>
      </c>
    </row>
    <row r="10" spans="2:6">
      <c r="B10" s="85" t="s">
        <v>12</v>
      </c>
      <c r="C10" s="82">
        <v>6.9449999999999998E-2</v>
      </c>
      <c r="D10" s="82">
        <v>0</v>
      </c>
      <c r="E10" s="82">
        <v>0</v>
      </c>
      <c r="F10" s="80" t="s">
        <v>143</v>
      </c>
    </row>
    <row r="11" spans="2:6">
      <c r="B11" s="85" t="s">
        <v>13</v>
      </c>
      <c r="C11" s="82">
        <v>0.1</v>
      </c>
      <c r="D11" s="82">
        <v>0.1</v>
      </c>
      <c r="E11" s="82">
        <v>0.14000000000000001</v>
      </c>
      <c r="F11" s="80" t="s">
        <v>143</v>
      </c>
    </row>
    <row r="12" spans="2:6">
      <c r="B12" s="85" t="s">
        <v>14</v>
      </c>
      <c r="C12" s="82">
        <v>0.15601999999999999</v>
      </c>
      <c r="D12" s="82">
        <v>0</v>
      </c>
      <c r="E12" s="82">
        <v>0</v>
      </c>
      <c r="F12" s="80" t="s">
        <v>143</v>
      </c>
    </row>
    <row r="13" spans="2:6">
      <c r="B13" s="85" t="s">
        <v>15</v>
      </c>
      <c r="C13" s="82">
        <v>7.0000000000000007E-2</v>
      </c>
      <c r="D13" s="82">
        <v>0</v>
      </c>
      <c r="E13" s="82">
        <v>0</v>
      </c>
      <c r="F13" s="80" t="s">
        <v>143</v>
      </c>
    </row>
    <row r="14" spans="2:6">
      <c r="B14" s="85" t="s">
        <v>16</v>
      </c>
      <c r="C14" s="82">
        <v>122.53192130000001</v>
      </c>
      <c r="D14" s="82">
        <v>82.47</v>
      </c>
      <c r="E14" s="82">
        <v>81.09</v>
      </c>
      <c r="F14" s="80" t="s">
        <v>143</v>
      </c>
    </row>
    <row r="15" spans="2:6">
      <c r="B15" s="85" t="s">
        <v>134</v>
      </c>
      <c r="C15" s="82">
        <v>13.51572</v>
      </c>
      <c r="D15" s="82">
        <v>1.9</v>
      </c>
      <c r="E15" s="82">
        <v>0</v>
      </c>
      <c r="F15" s="80" t="s">
        <v>144</v>
      </c>
    </row>
    <row r="16" spans="2:6">
      <c r="B16" s="85" t="s">
        <v>17</v>
      </c>
      <c r="C16" s="82">
        <v>0.28192</v>
      </c>
      <c r="D16" s="82">
        <v>0</v>
      </c>
      <c r="E16" s="82">
        <v>0</v>
      </c>
      <c r="F16" s="80" t="s">
        <v>143</v>
      </c>
    </row>
    <row r="17" spans="2:6">
      <c r="B17" s="85" t="s">
        <v>18</v>
      </c>
      <c r="C17" s="82">
        <v>9.4182900000000014E-2</v>
      </c>
      <c r="D17" s="82">
        <v>0.35</v>
      </c>
      <c r="E17" s="82">
        <v>1.32</v>
      </c>
      <c r="F17" s="80" t="s">
        <v>143</v>
      </c>
    </row>
    <row r="18" spans="2:6">
      <c r="B18" s="85" t="s">
        <v>19</v>
      </c>
      <c r="C18" s="82">
        <v>0.14491000000000001</v>
      </c>
      <c r="D18" s="82">
        <v>0</v>
      </c>
      <c r="E18" s="82">
        <v>0</v>
      </c>
      <c r="F18" s="80" t="s">
        <v>143</v>
      </c>
    </row>
    <row r="19" spans="2:6">
      <c r="B19" s="85" t="s">
        <v>135</v>
      </c>
      <c r="C19" s="82">
        <v>4.7215607000000004</v>
      </c>
      <c r="D19" s="82">
        <v>0</v>
      </c>
      <c r="E19" s="82">
        <v>0</v>
      </c>
      <c r="F19" s="80" t="s">
        <v>144</v>
      </c>
    </row>
    <row r="20" spans="2:6">
      <c r="B20" s="85" t="s">
        <v>136</v>
      </c>
      <c r="C20" s="82">
        <v>6.13E-2</v>
      </c>
      <c r="D20" s="82">
        <v>0</v>
      </c>
      <c r="E20" s="82">
        <v>0</v>
      </c>
      <c r="F20" s="80" t="s">
        <v>144</v>
      </c>
    </row>
    <row r="21" spans="2:6">
      <c r="B21" s="85" t="s">
        <v>137</v>
      </c>
      <c r="C21" s="82">
        <v>8.3419999999999994E-2</v>
      </c>
      <c r="D21" s="82">
        <v>0</v>
      </c>
      <c r="E21" s="82">
        <v>0</v>
      </c>
      <c r="F21" s="80" t="s">
        <v>144</v>
      </c>
    </row>
    <row r="22" spans="2:6">
      <c r="B22" s="85" t="s">
        <v>20</v>
      </c>
      <c r="C22" s="82">
        <v>5.0893899999999999</v>
      </c>
      <c r="D22" s="82">
        <v>0</v>
      </c>
      <c r="E22" s="82">
        <v>0</v>
      </c>
      <c r="F22" s="80" t="s">
        <v>143</v>
      </c>
    </row>
    <row r="23" spans="2:6">
      <c r="B23" s="85" t="s">
        <v>138</v>
      </c>
      <c r="C23" s="82">
        <v>164.83797999999999</v>
      </c>
      <c r="D23" s="82">
        <v>4.16</v>
      </c>
      <c r="E23" s="82"/>
      <c r="F23" s="80" t="s">
        <v>144</v>
      </c>
    </row>
    <row r="24" spans="2:6">
      <c r="B24" s="83" t="s">
        <v>142</v>
      </c>
      <c r="C24" s="84">
        <f>SUM(C5:C23)</f>
        <v>316.01359909999996</v>
      </c>
      <c r="D24" s="84">
        <f>SUM(D5:D23)</f>
        <v>89.21</v>
      </c>
      <c r="E24" s="84">
        <f>SUM(E5:E23)</f>
        <v>82.71</v>
      </c>
    </row>
    <row r="26" spans="2:6">
      <c r="B26" s="83" t="s">
        <v>145</v>
      </c>
      <c r="C26" s="84">
        <f>SUM(C9:C14,C16:C18,C22)</f>
        <v>129.3418484</v>
      </c>
      <c r="D26" s="84">
        <f t="shared" ref="D26:E26" si="0">SUM(D9:D14,D16:D18,D22)</f>
        <v>82.94</v>
      </c>
      <c r="E26" s="84">
        <f t="shared" si="0"/>
        <v>82.55</v>
      </c>
    </row>
    <row r="27" spans="2:6">
      <c r="C27" s="81" t="b">
        <f>SUM('A&amp;G- Audited Accounts'!C11:C20)=C26</f>
        <v>1</v>
      </c>
      <c r="D27" s="81" t="b">
        <f>SUM('A&amp;G- Audited Accounts'!D11:D20)=D26</f>
        <v>1</v>
      </c>
      <c r="E27" s="81" t="b">
        <f>SUM('A&amp;G- Audited Accounts'!E11:E20)=E26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O&amp;M-Final</vt:lpstr>
      <vt:lpstr>R&amp;M</vt:lpstr>
      <vt:lpstr>Security</vt:lpstr>
      <vt:lpstr>A&amp;G- Audited Accounts</vt:lpstr>
      <vt:lpstr>Reconcilation for Misc Exp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95002070</dc:creator>
  <cp:lastModifiedBy>95002070</cp:lastModifiedBy>
  <dcterms:created xsi:type="dcterms:W3CDTF">2022-10-19T12:52:04Z</dcterms:created>
  <dcterms:modified xsi:type="dcterms:W3CDTF">2022-12-05T08:30:32Z</dcterms:modified>
</cp:coreProperties>
</file>